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480" yWindow="30" windowWidth="9660" windowHeight="13140" activeTab="0"/>
  </bookViews>
  <sheets>
    <sheet name="Eingabe" sheetId="1" r:id="rId1"/>
    <sheet name="18 Spieler" sheetId="2" r:id="rId2"/>
    <sheet name="Kreuztabelle 18" sheetId="3" r:id="rId3"/>
    <sheet name="Tabelle 18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'18 Spieler'!$A$1:$AO$60</definedName>
    <definedName name="_xlnm.Print_Area" localSheetId="2">'Kreuztabelle 18'!$A$2:$Y$23</definedName>
    <definedName name="_xlnm.Print_Area" localSheetId="3">'Tabelle 18'!$A$1:$G$46</definedName>
    <definedName name="Makro10">[1]!Makro10</definedName>
    <definedName name="Makro12">[2]!Makro12</definedName>
    <definedName name="Makro14">[3]!Makro14</definedName>
    <definedName name="Makro16">[4]!Makro16</definedName>
    <definedName name="Makro8">[5]!Makro8</definedName>
  </definedNames>
  <calcPr fullCalcOnLoad="1"/>
</workbook>
</file>

<file path=xl/sharedStrings.xml><?xml version="1.0" encoding="utf-8"?>
<sst xmlns="http://schemas.openxmlformats.org/spreadsheetml/2006/main" count="710" uniqueCount="91">
  <si>
    <t xml:space="preserve">Eingabe Turnier </t>
  </si>
  <si>
    <t>:</t>
  </si>
  <si>
    <t>z. B. Monatsblitzturnier</t>
  </si>
  <si>
    <t>Spieler 1</t>
  </si>
  <si>
    <t>Spieler 11</t>
  </si>
  <si>
    <t>Spieler 2</t>
  </si>
  <si>
    <t>Spieler 12</t>
  </si>
  <si>
    <t>Spieler 3</t>
  </si>
  <si>
    <t>Spieler 13</t>
  </si>
  <si>
    <t>Spieler 4</t>
  </si>
  <si>
    <t>Spieler 14</t>
  </si>
  <si>
    <t>Spieler 5</t>
  </si>
  <si>
    <t>Spieler 15</t>
  </si>
  <si>
    <t>Spieler 6</t>
  </si>
  <si>
    <t>Spieler 16</t>
  </si>
  <si>
    <t>Spieler 7</t>
  </si>
  <si>
    <t>Spieler 17</t>
  </si>
  <si>
    <t>Spieler 8</t>
  </si>
  <si>
    <t>Spieler 9</t>
  </si>
  <si>
    <t>Spieler 10</t>
  </si>
  <si>
    <t>vom :</t>
  </si>
  <si>
    <t>1. Runde</t>
  </si>
  <si>
    <t>2. Runde</t>
  </si>
  <si>
    <t>3. Runde</t>
  </si>
  <si>
    <t>4. Runde</t>
  </si>
  <si>
    <t>5. Runde</t>
  </si>
  <si>
    <t xml:space="preserve"> </t>
  </si>
  <si>
    <t>6. Runde</t>
  </si>
  <si>
    <t>7. Runde</t>
  </si>
  <si>
    <t>8. Runde</t>
  </si>
  <si>
    <t>9. Runde</t>
  </si>
  <si>
    <t>10. Runde</t>
  </si>
  <si>
    <t>11. Runde</t>
  </si>
  <si>
    <t>12. Runde</t>
  </si>
  <si>
    <t>13. Runde</t>
  </si>
  <si>
    <t>14. Runde</t>
  </si>
  <si>
    <t>15. Runde</t>
  </si>
  <si>
    <t>16. Runde</t>
  </si>
  <si>
    <t>17. Runde</t>
  </si>
  <si>
    <t>Nr.</t>
  </si>
  <si>
    <t>Spieler</t>
  </si>
  <si>
    <t>Punkte</t>
  </si>
  <si>
    <t>Sonn/Berg</t>
  </si>
  <si>
    <t>Platz</t>
  </si>
  <si>
    <t>Tabelle</t>
  </si>
  <si>
    <t>Sitzplan der</t>
  </si>
  <si>
    <t>Runde</t>
  </si>
  <si>
    <t>Schwarz</t>
  </si>
  <si>
    <t>Weiß</t>
  </si>
  <si>
    <t>Ergebnis</t>
  </si>
  <si>
    <t>eine Runde vorgewählt werden.</t>
  </si>
  <si>
    <t xml:space="preserve">Im Feld "G1" kann im Tabellenblatt "18 Spieler" </t>
  </si>
  <si>
    <t>Rangfolge</t>
  </si>
  <si>
    <t>Datum</t>
  </si>
  <si>
    <t>??.??.????</t>
  </si>
  <si>
    <t>Spieler 18 / spielfrei</t>
  </si>
  <si>
    <t xml:space="preserve">Die Paarungen entsprechen dem Sitzplan / die Farbverteilung für die einzelnen Runden wird nur oben angezeigt! </t>
  </si>
  <si>
    <t>J = Alterskonstante (bis 20 = 5; 21 bis 25 = 10; ab 26 = 15)</t>
  </si>
  <si>
    <t>Eingabe Daten</t>
  </si>
  <si>
    <t>Name</t>
  </si>
  <si>
    <t>J</t>
  </si>
  <si>
    <t>DWZ</t>
  </si>
  <si>
    <t>We</t>
  </si>
  <si>
    <t>n</t>
  </si>
  <si>
    <r>
      <t>E</t>
    </r>
    <r>
      <rPr>
        <b/>
        <sz val="6"/>
        <rFont val="Arial"/>
        <family val="2"/>
      </rPr>
      <t>0</t>
    </r>
  </si>
  <si>
    <r>
      <t>f</t>
    </r>
    <r>
      <rPr>
        <b/>
        <sz val="6"/>
        <rFont val="Arial"/>
        <family val="2"/>
      </rPr>
      <t>B</t>
    </r>
  </si>
  <si>
    <r>
      <t>S</t>
    </r>
    <r>
      <rPr>
        <b/>
        <sz val="6"/>
        <rFont val="Arial"/>
        <family val="2"/>
      </rPr>
      <t>Br</t>
    </r>
  </si>
  <si>
    <t>E</t>
  </si>
  <si>
    <t>W</t>
  </si>
  <si>
    <t xml:space="preserve">DWZ der Gegner der </t>
  </si>
  <si>
    <t xml:space="preserve">Ergebnisse der </t>
  </si>
  <si>
    <t xml:space="preserve">Ergebnisse Spieler mit DWZ  </t>
  </si>
  <si>
    <t>Berechnung von p für jedes Spiel</t>
  </si>
  <si>
    <t>Summe p</t>
  </si>
  <si>
    <t>gespielte Partien</t>
  </si>
  <si>
    <t>Berechnung</t>
  </si>
  <si>
    <t>Beschleunigung</t>
  </si>
  <si>
    <t>Bremse</t>
  </si>
  <si>
    <t>(wird gerundet)</t>
  </si>
  <si>
    <t>geholte Punkte</t>
  </si>
  <si>
    <t>Neue DWZ</t>
  </si>
  <si>
    <t>DWZ Tabelle :-)</t>
  </si>
  <si>
    <t>DWZ neu</t>
  </si>
  <si>
    <t xml:space="preserve"> + / - </t>
  </si>
  <si>
    <t>Informationen:</t>
  </si>
  <si>
    <t>Wenn für J kein Wert eingetragen wird, wird dieser auf 15 gesetzt.</t>
  </si>
  <si>
    <t>Die DWZ Berechnung berücksichtigt nicht alle Bestimmungen!</t>
  </si>
  <si>
    <t>Es wird keine Gewähr übernommen, dass diese Tabelle fehlerfrei ist!</t>
  </si>
  <si>
    <t>Diese Tabelle ist für 17 oder 18 Spieler gemacht.</t>
  </si>
  <si>
    <r>
      <t xml:space="preserve">Bei nur 17 Spielern </t>
    </r>
    <r>
      <rPr>
        <b/>
        <u val="single"/>
        <sz val="12"/>
        <rFont val="Arial"/>
        <family val="2"/>
      </rPr>
      <t>muss</t>
    </r>
    <r>
      <rPr>
        <b/>
        <sz val="12"/>
        <rFont val="Arial"/>
        <family val="2"/>
      </rPr>
      <t xml:space="preserve"> immer </t>
    </r>
    <r>
      <rPr>
        <b/>
        <sz val="12"/>
        <color indexed="10"/>
        <rFont val="Arial"/>
        <family val="2"/>
      </rPr>
      <t>spielfrei</t>
    </r>
    <r>
      <rPr>
        <b/>
        <sz val="12"/>
        <rFont val="Arial"/>
        <family val="2"/>
      </rPr>
      <t xml:space="preserve"> für den 18 Spieler eingetragen werden!</t>
    </r>
  </si>
  <si>
    <t>Version 1.02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</si>
</sst>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6"/>
      <name val="Arial"/>
      <family val="2"/>
    </font>
    <font>
      <b/>
      <u val="single"/>
      <sz val="12"/>
      <name val="Arial"/>
      <family val="2"/>
    </font>
    <font>
      <b/>
      <sz val="6"/>
      <color indexed="12"/>
      <name val="Arial"/>
      <family val="2"/>
    </font>
  </fonts>
  <fills count="6">
    <fill>
      <patternFill/>
    </fill>
    <fill>
      <patternFill patternType="gray125"/>
    </fill>
    <fill>
      <patternFill patternType="darkUp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Continuous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Continuous" vertic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72" fontId="1" fillId="0" borderId="2" xfId="0" applyNumberFormat="1" applyFont="1" applyBorder="1" applyAlignment="1">
      <alignment horizontal="center" vertical="center"/>
    </xf>
    <xf numFmtId="172" fontId="1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14" fontId="6" fillId="0" borderId="0" xfId="0" applyNumberFormat="1" applyFont="1" applyBorder="1" applyAlignment="1">
      <alignment horizontal="centerContinuous" vertical="center"/>
    </xf>
    <xf numFmtId="14" fontId="10" fillId="0" borderId="0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2" fontId="0" fillId="0" borderId="0" xfId="0" applyNumberFormat="1" applyFont="1" applyBorder="1" applyAlignment="1">
      <alignment horizontal="left" vertical="center"/>
    </xf>
    <xf numFmtId="14" fontId="5" fillId="0" borderId="0" xfId="0" applyNumberFormat="1" applyFont="1" applyAlignment="1">
      <alignment horizontal="centerContinuous"/>
    </xf>
    <xf numFmtId="0" fontId="0" fillId="0" borderId="16" xfId="0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2" fontId="1" fillId="0" borderId="3" xfId="0" applyNumberFormat="1" applyFon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2" fontId="1" fillId="0" borderId="2" xfId="0" applyNumberFormat="1" applyFon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2" fontId="1" fillId="0" borderId="6" xfId="0" applyNumberFormat="1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24" xfId="0" applyFill="1" applyBorder="1" applyAlignment="1">
      <alignment/>
    </xf>
    <xf numFmtId="0" fontId="5" fillId="3" borderId="2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Continuous" vertical="center"/>
    </xf>
    <xf numFmtId="0" fontId="0" fillId="3" borderId="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0" fillId="4" borderId="21" xfId="0" applyFill="1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7" xfId="0" applyFill="1" applyBorder="1" applyAlignment="1">
      <alignment horizontal="left" vertical="center"/>
    </xf>
    <xf numFmtId="0" fontId="0" fillId="4" borderId="17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31" xfId="0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173" fontId="0" fillId="0" borderId="31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3" fontId="0" fillId="0" borderId="31" xfId="0" applyNumberFormat="1" applyBorder="1" applyAlignment="1">
      <alignment horizontal="left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1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top"/>
    </xf>
    <xf numFmtId="0" fontId="5" fillId="3" borderId="2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14" fontId="1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2" fillId="4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rgb="FFFFFFFF"/>
      </font>
      <border/>
    </dxf>
    <dxf>
      <font>
        <color rgb="FFFF0000"/>
      </font>
      <border/>
    </dxf>
    <dxf>
      <font>
        <b/>
        <i val="0"/>
        <color rgb="FF336666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Schach\Rutschsy\Einzel\RUTSYS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Schach\Rutschsy\Einzel\RUTSYS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Schach\Rutschsy\Einzel\RUTSYS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Schach\Rutschsy\Einzel\RUTSYS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Schach\Rutschsy\Einzel\RUTSYS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UTSYS08DW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10 Spieler"/>
      <sheetName val="Kreuztabelle 10"/>
      <sheetName val="Tabelle 10"/>
      <sheetName val="Modul 10"/>
    </sheetNames>
    <definedNames>
      <definedName name="Makro10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12 Spieler"/>
      <sheetName val="Kreuztabelle 12"/>
      <sheetName val="Tabelle 12"/>
      <sheetName val="Modul 12"/>
    </sheetNames>
    <definedNames>
      <definedName name="Makro12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14 Spieler"/>
      <sheetName val="Kreuztabelle 14"/>
      <sheetName val="Tabelle 14"/>
      <sheetName val="Modul 14"/>
    </sheetNames>
    <definedNames>
      <definedName name="Makro14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16 Spieler"/>
      <sheetName val="Kreuztabelle 16"/>
      <sheetName val="Tabelle 16"/>
      <sheetName val="Modul 16"/>
    </sheetNames>
    <definedNames>
      <definedName name="Makro16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8 Spieler"/>
      <sheetName val="Kreuztabelle 8"/>
      <sheetName val="Tabelle 8"/>
      <sheetName val="Modul 8"/>
    </sheetNames>
    <definedNames>
      <definedName name="Makro8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8 Spieler"/>
      <sheetName val="Kreuztabelle 8"/>
      <sheetName val="Tabelle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50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2.7109375" style="0" customWidth="1"/>
    <col min="2" max="2" width="3.7109375" style="0" customWidth="1"/>
    <col min="3" max="3" width="2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25.7109375" style="0" customWidth="1"/>
    <col min="8" max="8" width="3.7109375" style="0" customWidth="1"/>
    <col min="9" max="9" width="6.7109375" style="0" customWidth="1"/>
    <col min="10" max="26" width="12.7109375" style="0" customWidth="1"/>
  </cols>
  <sheetData>
    <row r="1" spans="1:26" ht="19.5" customHeight="1">
      <c r="A1" s="178" t="s">
        <v>90</v>
      </c>
      <c r="B1" s="182" t="str">
        <f ca="1">"Heute ist "&amp;IF(WEEKDAY(TODAY())=1,"Sonntag","")&amp;IF(WEEKDAY(TODAY())=2,"Montag","")&amp;IF(WEEKDAY(TODAY())=3,"Dienstag","")&amp;IF(WEEKDAY(TODAY())=4,"Mittwoch","")&amp;IF(WEEKDAY(TODAY())=5,"Donnerstag","")&amp;IF(WEEKDAY(TODAY())=6,"Freitag","")&amp;IF(WEEKDAY(TODAY())=7,"Samstag","")&amp;" der "&amp;DAY(TODAY())&amp;". "&amp;IF(MONTH(TODAY())=1,"Januar","")&amp;IF(MONTH(TODAY())=2,"Februar","")&amp;IF(MONTH(TODAY())=3,"März","")&amp;IF(MONTH(TODAY())=4,"April","")&amp;IF(MONTH(TODAY())=5,"Mai","")&amp;IF(MONTH(TODAY())=6,"Juni","")&amp;IF(MONTH(TODAY())=7,"Juli","")&amp;IF(MONTH(TODAY())=8,"August","")&amp;IF(MONTH(TODAY())=9,"September","")&amp;IF(MONTH(TODAY())=10,"Oktober","")&amp;IF(MONTH(TODAY())=11,"November","")&amp;IF(MONTH(TODAY())=12,"Dezember","")&amp;" "&amp;YEAR(TODAY())</f>
        <v>Heute ist Samstag der 8. Februar 2020</v>
      </c>
      <c r="C1" s="182"/>
      <c r="D1" s="182"/>
      <c r="E1" s="182"/>
      <c r="F1" s="182"/>
      <c r="G1" s="182"/>
      <c r="H1" s="182"/>
      <c r="I1" s="182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" customHeight="1">
      <c r="A2" s="121"/>
      <c r="B2" s="135"/>
      <c r="C2" s="183" t="s">
        <v>53</v>
      </c>
      <c r="D2" s="183"/>
      <c r="E2" s="183"/>
      <c r="F2" s="123" t="s">
        <v>1</v>
      </c>
      <c r="G2" s="184" t="s">
        <v>54</v>
      </c>
      <c r="H2" s="184"/>
      <c r="I2" s="184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24" customHeight="1">
      <c r="A3" s="120"/>
      <c r="B3" s="124"/>
      <c r="C3" s="179" t="s">
        <v>0</v>
      </c>
      <c r="D3" s="179"/>
      <c r="E3" s="179"/>
      <c r="F3" s="125" t="s">
        <v>1</v>
      </c>
      <c r="G3" s="180" t="s">
        <v>2</v>
      </c>
      <c r="H3" s="180"/>
      <c r="I3" s="18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1:26" ht="24" customHeight="1">
      <c r="A4" s="120"/>
      <c r="B4" s="181" t="s">
        <v>58</v>
      </c>
      <c r="C4" s="181"/>
      <c r="D4" s="181"/>
      <c r="E4" s="181"/>
      <c r="F4" s="181"/>
      <c r="G4" s="181"/>
      <c r="H4" s="181"/>
      <c r="I4" s="181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spans="1:26" ht="24" customHeight="1" thickBot="1">
      <c r="A5" s="137"/>
      <c r="B5" s="126"/>
      <c r="C5" s="138" t="s">
        <v>59</v>
      </c>
      <c r="D5" s="139" t="s">
        <v>60</v>
      </c>
      <c r="E5" s="139" t="s">
        <v>61</v>
      </c>
      <c r="F5" s="127"/>
      <c r="G5" s="138" t="s">
        <v>59</v>
      </c>
      <c r="H5" s="139" t="s">
        <v>60</v>
      </c>
      <c r="I5" s="139" t="s">
        <v>61</v>
      </c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</row>
    <row r="6" spans="1:26" ht="24.75" customHeight="1">
      <c r="A6" s="120"/>
      <c r="B6" s="128">
        <v>1</v>
      </c>
      <c r="C6" s="140" t="s">
        <v>3</v>
      </c>
      <c r="D6" s="141"/>
      <c r="E6" s="142"/>
      <c r="F6" s="128">
        <v>11</v>
      </c>
      <c r="G6" s="140" t="s">
        <v>4</v>
      </c>
      <c r="H6" s="141"/>
      <c r="I6" s="142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24.75" customHeight="1">
      <c r="A7" s="120"/>
      <c r="B7" s="129">
        <v>2</v>
      </c>
      <c r="C7" s="143" t="s">
        <v>5</v>
      </c>
      <c r="D7" s="144"/>
      <c r="E7" s="145"/>
      <c r="F7" s="129">
        <v>12</v>
      </c>
      <c r="G7" s="143" t="s">
        <v>6</v>
      </c>
      <c r="H7" s="144"/>
      <c r="I7" s="145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 ht="24.75" customHeight="1">
      <c r="A8" s="120"/>
      <c r="B8" s="129">
        <v>3</v>
      </c>
      <c r="C8" s="143" t="s">
        <v>7</v>
      </c>
      <c r="D8" s="144"/>
      <c r="E8" s="145"/>
      <c r="F8" s="129">
        <v>13</v>
      </c>
      <c r="G8" s="143" t="s">
        <v>8</v>
      </c>
      <c r="H8" s="144"/>
      <c r="I8" s="145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1:26" ht="24.75" customHeight="1">
      <c r="A9" s="120"/>
      <c r="B9" s="129">
        <v>4</v>
      </c>
      <c r="C9" s="143" t="s">
        <v>9</v>
      </c>
      <c r="D9" s="144"/>
      <c r="E9" s="145"/>
      <c r="F9" s="129">
        <v>14</v>
      </c>
      <c r="G9" s="143" t="s">
        <v>10</v>
      </c>
      <c r="H9" s="144"/>
      <c r="I9" s="145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1:26" ht="24.75" customHeight="1">
      <c r="A10" s="120"/>
      <c r="B10" s="129">
        <v>5</v>
      </c>
      <c r="C10" s="143" t="s">
        <v>11</v>
      </c>
      <c r="D10" s="144"/>
      <c r="E10" s="145"/>
      <c r="F10" s="129">
        <v>15</v>
      </c>
      <c r="G10" s="143" t="s">
        <v>12</v>
      </c>
      <c r="H10" s="144"/>
      <c r="I10" s="145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spans="1:26" ht="24.75" customHeight="1">
      <c r="A11" s="120"/>
      <c r="B11" s="129">
        <v>6</v>
      </c>
      <c r="C11" s="143" t="s">
        <v>13</v>
      </c>
      <c r="D11" s="144"/>
      <c r="E11" s="145"/>
      <c r="F11" s="129">
        <v>16</v>
      </c>
      <c r="G11" s="143" t="s">
        <v>14</v>
      </c>
      <c r="H11" s="144"/>
      <c r="I11" s="145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1:26" ht="24.75" customHeight="1">
      <c r="A12" s="120"/>
      <c r="B12" s="129">
        <v>7</v>
      </c>
      <c r="C12" s="143" t="s">
        <v>15</v>
      </c>
      <c r="D12" s="144"/>
      <c r="E12" s="145"/>
      <c r="F12" s="129">
        <v>17</v>
      </c>
      <c r="G12" s="143" t="s">
        <v>16</v>
      </c>
      <c r="H12" s="144"/>
      <c r="I12" s="145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spans="1:26" ht="24.75" customHeight="1">
      <c r="A13" s="120"/>
      <c r="B13" s="129">
        <v>8</v>
      </c>
      <c r="C13" s="143" t="s">
        <v>17</v>
      </c>
      <c r="D13" s="144"/>
      <c r="E13" s="145"/>
      <c r="F13" s="129">
        <v>18</v>
      </c>
      <c r="G13" s="143" t="s">
        <v>55</v>
      </c>
      <c r="H13" s="144"/>
      <c r="I13" s="145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1:26" ht="24.75" customHeight="1">
      <c r="A14" s="120"/>
      <c r="B14" s="129">
        <v>9</v>
      </c>
      <c r="C14" s="143" t="s">
        <v>18</v>
      </c>
      <c r="D14" s="144"/>
      <c r="E14" s="145"/>
      <c r="F14" s="129"/>
      <c r="G14" s="146"/>
      <c r="H14" s="147"/>
      <c r="I14" s="131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1:26" ht="24.75" customHeight="1" thickBot="1">
      <c r="A15" s="120"/>
      <c r="B15" s="130">
        <v>10</v>
      </c>
      <c r="C15" s="148" t="s">
        <v>19</v>
      </c>
      <c r="D15" s="149"/>
      <c r="E15" s="150"/>
      <c r="F15" s="130"/>
      <c r="G15" s="151"/>
      <c r="H15" s="152"/>
      <c r="I15" s="132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 ht="24.7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6" ht="15" customHeight="1">
      <c r="A17" s="153"/>
      <c r="B17" s="122" t="s">
        <v>84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ht="15" customHeight="1">
      <c r="A18" s="153"/>
      <c r="B18" s="122" t="s">
        <v>88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ht="15" customHeight="1">
      <c r="A19" s="153"/>
      <c r="B19" s="122" t="s">
        <v>89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ht="1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 ht="15" customHeight="1">
      <c r="A21" s="120"/>
      <c r="B21" s="122" t="s">
        <v>51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 ht="15" customHeight="1">
      <c r="A22" s="120"/>
      <c r="B22" s="122" t="s">
        <v>50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1:26" ht="1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6" ht="15" customHeight="1">
      <c r="A24" s="120"/>
      <c r="B24" s="122" t="s">
        <v>57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1:26" ht="15" customHeight="1">
      <c r="A25" s="120"/>
      <c r="B25" s="122" t="s">
        <v>85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26" ht="15" customHeight="1">
      <c r="A26" s="120"/>
      <c r="B26" s="122" t="s">
        <v>86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26" ht="15" customHeight="1">
      <c r="A27" s="120"/>
      <c r="B27" s="122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26" ht="15" customHeight="1">
      <c r="A28" s="120"/>
      <c r="B28" s="177" t="s">
        <v>87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 ht="1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1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ht="1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 ht="1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ht="1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ht="15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ht="1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 ht="1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1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15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:26" ht="1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:26" ht="1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:26" ht="1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:26" ht="1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:26" ht="1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:26" ht="1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:26" ht="1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:26" ht="15" customHeight="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:26" ht="15" customHeight="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:26" ht="15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:26" ht="1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:26" ht="15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</sheetData>
  <mergeCells count="6">
    <mergeCell ref="C3:E3"/>
    <mergeCell ref="G3:I3"/>
    <mergeCell ref="B4:I4"/>
    <mergeCell ref="B1:I1"/>
    <mergeCell ref="C2:E2"/>
    <mergeCell ref="G2:I2"/>
  </mergeCells>
  <printOptions horizontalCentered="1"/>
  <pageMargins left="0.3937007874015748" right="0.3937007874015748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BO159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G1" sqref="G1"/>
    </sheetView>
  </sheetViews>
  <sheetFormatPr defaultColWidth="11.421875" defaultRowHeight="12.75"/>
  <cols>
    <col min="1" max="1" width="8.00390625" style="0" customWidth="1"/>
    <col min="2" max="2" width="3.7109375" style="0" customWidth="1"/>
    <col min="3" max="3" width="13.7109375" style="0" customWidth="1"/>
    <col min="4" max="4" width="1.57421875" style="0" customWidth="1"/>
    <col min="5" max="5" width="2.7109375" style="0" customWidth="1"/>
    <col min="6" max="6" width="11.7109375" style="0" customWidth="1"/>
    <col min="7" max="7" width="4.140625" style="0" customWidth="1"/>
    <col min="8" max="8" width="1.57421875" style="0" customWidth="1"/>
    <col min="9" max="9" width="4.140625" style="0" customWidth="1"/>
    <col min="10" max="10" width="3.7109375" style="0" customWidth="1"/>
    <col min="11" max="11" width="13.7109375" style="0" customWidth="1"/>
    <col min="12" max="12" width="1.57421875" style="0" customWidth="1"/>
    <col min="13" max="13" width="2.7109375" style="0" customWidth="1"/>
    <col min="14" max="14" width="11.7109375" style="0" customWidth="1"/>
    <col min="15" max="15" width="4.140625" style="0" customWidth="1"/>
    <col min="16" max="16" width="1.57421875" style="0" customWidth="1"/>
    <col min="17" max="17" width="4.140625" style="0" customWidth="1"/>
    <col min="18" max="18" width="3.7109375" style="0" customWidth="1"/>
    <col min="19" max="19" width="13.7109375" style="0" customWidth="1"/>
    <col min="20" max="20" width="1.57421875" style="0" customWidth="1"/>
    <col min="21" max="21" width="2.7109375" style="0" customWidth="1"/>
    <col min="22" max="22" width="11.7109375" style="0" customWidth="1"/>
    <col min="23" max="23" width="4.140625" style="0" customWidth="1"/>
    <col min="24" max="24" width="1.57421875" style="0" customWidth="1"/>
    <col min="25" max="25" width="4.140625" style="0" customWidth="1"/>
    <col min="26" max="26" width="3.7109375" style="0" customWidth="1"/>
    <col min="27" max="27" width="13.7109375" style="0" customWidth="1"/>
    <col min="28" max="28" width="1.57421875" style="0" customWidth="1"/>
    <col min="29" max="29" width="2.7109375" style="0" customWidth="1"/>
    <col min="30" max="30" width="11.7109375" style="0" customWidth="1"/>
    <col min="31" max="31" width="4.140625" style="0" customWidth="1"/>
    <col min="32" max="32" width="1.57421875" style="0" customWidth="1"/>
    <col min="33" max="33" width="4.140625" style="0" customWidth="1"/>
    <col min="34" max="34" width="3.7109375" style="0" customWidth="1"/>
    <col min="35" max="35" width="13.7109375" style="0" customWidth="1"/>
    <col min="36" max="36" width="1.57421875" style="0" customWidth="1"/>
    <col min="37" max="37" width="2.7109375" style="0" customWidth="1"/>
    <col min="38" max="38" width="11.7109375" style="0" customWidth="1"/>
    <col min="39" max="39" width="4.140625" style="0" customWidth="1"/>
    <col min="40" max="40" width="1.57421875" style="0" customWidth="1"/>
    <col min="41" max="41" width="4.140625" style="0" customWidth="1"/>
    <col min="43" max="61" width="10.7109375" style="1" hidden="1" customWidth="1"/>
    <col min="62" max="67" width="4.7109375" style="1" hidden="1" customWidth="1"/>
  </cols>
  <sheetData>
    <row r="1" spans="1:67" s="15" customFormat="1" ht="23.25">
      <c r="A1"/>
      <c r="B1" s="192" t="s">
        <v>45</v>
      </c>
      <c r="C1" s="192"/>
      <c r="D1" s="193" t="str">
        <f>BO159&amp;"."</f>
        <v>1.</v>
      </c>
      <c r="E1" s="193"/>
      <c r="F1" s="91" t="s">
        <v>46</v>
      </c>
      <c r="G1" s="198"/>
      <c r="H1" s="197"/>
      <c r="I1" s="12"/>
      <c r="J1" s="12"/>
      <c r="K1" s="81" t="str">
        <f>Eingabe!$G$3</f>
        <v>z. B. Monatsblitzturnier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/>
      <c r="AK1" s="36" t="s">
        <v>20</v>
      </c>
      <c r="AL1" s="88" t="str">
        <f>Eingabe!G2</f>
        <v>??.??.????</v>
      </c>
      <c r="AM1" s="12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3" spans="2:41" ht="13.5" thickBot="1">
      <c r="B3" s="18" t="str">
        <f>BI7</f>
        <v>Spieler 1</v>
      </c>
      <c r="C3" s="12"/>
      <c r="D3" s="16"/>
      <c r="E3" s="12"/>
      <c r="F3" s="16" t="str">
        <f>BI8</f>
        <v>Spieler 2</v>
      </c>
      <c r="G3" s="16"/>
      <c r="H3" s="16"/>
      <c r="I3" s="16"/>
      <c r="J3" s="16" t="str">
        <f>BI9</f>
        <v>Spieler 3</v>
      </c>
      <c r="K3" s="12"/>
      <c r="L3" s="16"/>
      <c r="M3" s="12"/>
      <c r="N3" s="16" t="str">
        <f>BI10</f>
        <v>Spieler 4</v>
      </c>
      <c r="O3" s="16"/>
      <c r="P3" s="16"/>
      <c r="Q3" s="16"/>
      <c r="R3" s="16" t="str">
        <f>BI11</f>
        <v>Spieler 5</v>
      </c>
      <c r="S3" s="12"/>
      <c r="T3" s="16"/>
      <c r="U3" s="12"/>
      <c r="V3" s="16" t="str">
        <f>BI12</f>
        <v>Spieler 6</v>
      </c>
      <c r="W3" s="16"/>
      <c r="X3" s="16"/>
      <c r="Y3" s="16"/>
      <c r="Z3" s="16" t="str">
        <f>BI13</f>
        <v>Spieler 7</v>
      </c>
      <c r="AA3" s="12"/>
      <c r="AB3" s="16"/>
      <c r="AC3" s="12"/>
      <c r="AD3" s="16" t="str">
        <f>BI14</f>
        <v>Spieler 8</v>
      </c>
      <c r="AE3" s="16"/>
      <c r="AF3" s="16"/>
      <c r="AG3" s="16"/>
      <c r="AH3" s="16" t="str">
        <f>BI15</f>
        <v>Spieler 9</v>
      </c>
      <c r="AI3" s="12"/>
      <c r="AJ3" s="16"/>
      <c r="AK3" s="18"/>
      <c r="AL3" s="70"/>
      <c r="AM3" s="70"/>
      <c r="AN3" s="18"/>
      <c r="AO3" s="18"/>
    </row>
    <row r="4" spans="2:65" ht="12.75">
      <c r="B4" s="189" t="str">
        <f>IF($B$7="spielfrei","",BI6)</f>
        <v>Weiß</v>
      </c>
      <c r="C4" s="190" t="str">
        <f>IF($F$7="spielfrei","","Tisch 1")</f>
        <v>Tisch 1</v>
      </c>
      <c r="D4" s="190" t="str">
        <f>IF($F$7="spielfrei","","Tisch 1")</f>
        <v>Tisch 1</v>
      </c>
      <c r="E4" s="191" t="str">
        <f>IF($F$7="spielfrei","","Tisch 1")</f>
        <v>Tisch 1</v>
      </c>
      <c r="F4" s="189" t="s">
        <v>47</v>
      </c>
      <c r="G4" s="190"/>
      <c r="H4" s="190"/>
      <c r="I4" s="191"/>
      <c r="J4" s="189" t="s">
        <v>48</v>
      </c>
      <c r="K4" s="190"/>
      <c r="L4" s="190"/>
      <c r="M4" s="191"/>
      <c r="N4" s="189" t="s">
        <v>47</v>
      </c>
      <c r="O4" s="190"/>
      <c r="P4" s="190"/>
      <c r="Q4" s="191"/>
      <c r="R4" s="189" t="s">
        <v>48</v>
      </c>
      <c r="S4" s="190"/>
      <c r="T4" s="190"/>
      <c r="U4" s="191"/>
      <c r="V4" s="189" t="s">
        <v>47</v>
      </c>
      <c r="W4" s="190"/>
      <c r="X4" s="190"/>
      <c r="Y4" s="191"/>
      <c r="Z4" s="189" t="s">
        <v>48</v>
      </c>
      <c r="AA4" s="190"/>
      <c r="AB4" s="190"/>
      <c r="AC4" s="191"/>
      <c r="AD4" s="189" t="s">
        <v>47</v>
      </c>
      <c r="AE4" s="190"/>
      <c r="AF4" s="190"/>
      <c r="AG4" s="191"/>
      <c r="AH4" s="189" t="s">
        <v>48</v>
      </c>
      <c r="AI4" s="190"/>
      <c r="AJ4" s="190"/>
      <c r="AK4" s="191"/>
      <c r="AL4" s="71"/>
      <c r="AM4" s="71"/>
      <c r="AN4" s="2"/>
      <c r="AO4" s="2"/>
      <c r="AQ4" s="1" t="s">
        <v>43</v>
      </c>
      <c r="AR4" s="1" t="s">
        <v>21</v>
      </c>
      <c r="AS4" s="1" t="s">
        <v>22</v>
      </c>
      <c r="AT4" s="1" t="s">
        <v>23</v>
      </c>
      <c r="AU4" s="1" t="s">
        <v>24</v>
      </c>
      <c r="AV4" s="1" t="s">
        <v>25</v>
      </c>
      <c r="AW4" s="1" t="s">
        <v>27</v>
      </c>
      <c r="AX4" s="1" t="s">
        <v>28</v>
      </c>
      <c r="AY4" s="1" t="s">
        <v>29</v>
      </c>
      <c r="AZ4" s="1" t="s">
        <v>30</v>
      </c>
      <c r="BA4" s="1" t="s">
        <v>31</v>
      </c>
      <c r="BB4" s="1" t="s">
        <v>32</v>
      </c>
      <c r="BC4" s="1" t="s">
        <v>33</v>
      </c>
      <c r="BD4" s="1" t="s">
        <v>34</v>
      </c>
      <c r="BE4" s="1" t="s">
        <v>35</v>
      </c>
      <c r="BF4" s="1" t="s">
        <v>36</v>
      </c>
      <c r="BG4" s="1" t="s">
        <v>37</v>
      </c>
      <c r="BH4" s="1" t="s">
        <v>38</v>
      </c>
      <c r="BI4" s="1" t="s">
        <v>49</v>
      </c>
      <c r="BK4" s="1">
        <f>IF($E$12="spielfrei",COUNT($G$13:$G$20,$O$13:$O$20,$W$13:$W$20,$G$26:$G$33,$O$26:$O$33,$W$26:$W$33,$G$39:$G$46,$O$39:$O$46,$W$39:$W$46,$G$52:$G$59,$AE$13:$AE$20,$AE$26:$AE$33,$AE$39:$AE$46,$O$52:$O$59,$AM$13:$AM$20,$AM$26:$AM$33,$AM$39:$AM$46),-1)</f>
        <v>-1</v>
      </c>
      <c r="BM4" s="1">
        <f>IF($E$12="spielfrei",-1,COUNT($G$12:$G$20,$O$12:$O$20,$W$12:$W$20,$G$25:$G$33,$O$25:$O$33,$W$25:$W$33,$G$38:$G$46,$O$38:$O$46,$W$38:$W$46,$G$51:$G$59,$AE$12:$AE$20,$AE$25:$AE$33,$AE$38:$AE$46,$O$51:$O$59,$AM$12:$AM$20,$AM$25:$AM$33,$AM$38:$AM$46))</f>
        <v>0</v>
      </c>
    </row>
    <row r="5" spans="2:67" ht="12.75">
      <c r="B5" s="72" t="str">
        <f>IF($B$7="spielfrei","","Tisch 1")</f>
        <v>Tisch 1</v>
      </c>
      <c r="C5" s="73"/>
      <c r="D5" s="73"/>
      <c r="E5" s="74"/>
      <c r="F5" s="72" t="str">
        <f>IF($B$7="spielfrei","Tisch 1","Tisch 2")</f>
        <v>Tisch 2</v>
      </c>
      <c r="G5" s="17"/>
      <c r="H5" s="35"/>
      <c r="I5" s="89"/>
      <c r="J5" s="72" t="str">
        <f>IF($B$7="spielfrei","Tisch 2","Tisch 3")</f>
        <v>Tisch 3</v>
      </c>
      <c r="K5" s="73"/>
      <c r="L5" s="73"/>
      <c r="M5" s="74"/>
      <c r="N5" s="72" t="str">
        <f>IF($B$7="spielfrei","Tisch 3","Tisch 4")</f>
        <v>Tisch 4</v>
      </c>
      <c r="O5" s="17"/>
      <c r="P5" s="35"/>
      <c r="Q5" s="90"/>
      <c r="R5" s="72" t="str">
        <f>IF($B$7="spielfrei","Tisch 4","Tisch 5")</f>
        <v>Tisch 5</v>
      </c>
      <c r="S5" s="17"/>
      <c r="T5" s="35"/>
      <c r="U5" s="90"/>
      <c r="V5" s="72" t="str">
        <f>IF($B$7="spielfrei","Tisch 5","Tisch 6")</f>
        <v>Tisch 6</v>
      </c>
      <c r="W5" s="17"/>
      <c r="X5" s="35"/>
      <c r="Y5" s="90"/>
      <c r="Z5" s="72" t="str">
        <f>IF($B$7="spielfrei","Tisch 6","Tisch 7")</f>
        <v>Tisch 7</v>
      </c>
      <c r="AA5" s="17"/>
      <c r="AB5" s="35"/>
      <c r="AC5" s="90"/>
      <c r="AD5" s="72" t="str">
        <f>IF($B$7="spielfrei","Tisch 7","Tisch 8")</f>
        <v>Tisch 8</v>
      </c>
      <c r="AE5" s="73"/>
      <c r="AF5" s="73"/>
      <c r="AG5" s="74"/>
      <c r="AH5" s="72" t="str">
        <f>IF($B$7="spielfrei","Tisch 8","Tisch 9")</f>
        <v>Tisch 9</v>
      </c>
      <c r="AI5" s="17"/>
      <c r="AJ5" s="35"/>
      <c r="AK5" s="90"/>
      <c r="AL5" s="70"/>
      <c r="AM5" s="70"/>
      <c r="AN5" s="18"/>
      <c r="AO5" s="17"/>
      <c r="BK5" s="1">
        <f>IF($BK$4=BO5,BL5,0)</f>
        <v>0</v>
      </c>
      <c r="BL5" s="1">
        <v>1</v>
      </c>
      <c r="BM5" s="1">
        <f>IF($BM$4=BO5,BN5,0)</f>
        <v>1</v>
      </c>
      <c r="BN5" s="1">
        <v>1</v>
      </c>
      <c r="BO5" s="1">
        <v>0</v>
      </c>
    </row>
    <row r="6" spans="2:67" ht="13.5" thickBot="1">
      <c r="B6" s="186" t="str">
        <f>IF($B$7="spielfrei","",IF(B4="Weiß","Schwarz",IF(B4="Schwarz","Weiß")))</f>
        <v>Schwarz</v>
      </c>
      <c r="C6" s="187"/>
      <c r="D6" s="187"/>
      <c r="E6" s="188"/>
      <c r="F6" s="186" t="s">
        <v>48</v>
      </c>
      <c r="G6" s="187"/>
      <c r="H6" s="187"/>
      <c r="I6" s="188"/>
      <c r="J6" s="186" t="s">
        <v>47</v>
      </c>
      <c r="K6" s="187"/>
      <c r="L6" s="187"/>
      <c r="M6" s="188"/>
      <c r="N6" s="186" t="s">
        <v>48</v>
      </c>
      <c r="O6" s="187"/>
      <c r="P6" s="187"/>
      <c r="Q6" s="188"/>
      <c r="R6" s="186" t="s">
        <v>47</v>
      </c>
      <c r="S6" s="187"/>
      <c r="T6" s="187"/>
      <c r="U6" s="188"/>
      <c r="V6" s="186" t="s">
        <v>48</v>
      </c>
      <c r="W6" s="187"/>
      <c r="X6" s="187"/>
      <c r="Y6" s="188"/>
      <c r="Z6" s="186" t="s">
        <v>47</v>
      </c>
      <c r="AA6" s="187"/>
      <c r="AB6" s="187"/>
      <c r="AC6" s="188"/>
      <c r="AD6" s="186" t="s">
        <v>48</v>
      </c>
      <c r="AE6" s="187"/>
      <c r="AF6" s="187"/>
      <c r="AG6" s="188"/>
      <c r="AH6" s="186" t="s">
        <v>47</v>
      </c>
      <c r="AI6" s="187"/>
      <c r="AJ6" s="187"/>
      <c r="AK6" s="188"/>
      <c r="AL6" s="71"/>
      <c r="AM6" s="71"/>
      <c r="AN6" s="2"/>
      <c r="AO6" s="2"/>
      <c r="AR6" s="1" t="str">
        <f>IF($BO$159=1,"Weiß","")</f>
        <v>Weiß</v>
      </c>
      <c r="AS6" s="1">
        <f>IF($BO$159=2,"Schwarz","")</f>
      </c>
      <c r="AT6" s="1">
        <f>IF($BO$159=3,"Weiß","")</f>
      </c>
      <c r="AU6" s="1">
        <f>IF($BO$159=4,"Schwarz","")</f>
      </c>
      <c r="AV6" s="1">
        <f>IF($BO$159=5,"Weiß","")</f>
      </c>
      <c r="AW6" s="1">
        <f>IF($BO$159=6,"Schwarz","")</f>
      </c>
      <c r="AX6" s="1">
        <f>IF($BO$159=7,"Weiß","")</f>
      </c>
      <c r="AY6" s="1">
        <f>IF($BO$159=8,"Schwarz","")</f>
      </c>
      <c r="AZ6" s="1">
        <f>IF($BO$159=9,"Weiß","")</f>
      </c>
      <c r="BA6" s="1">
        <f>IF($BO$159=10,"Schwarz","")</f>
      </c>
      <c r="BB6" s="1">
        <f>IF($BO$159=11,"Weiß","")</f>
      </c>
      <c r="BC6" s="1">
        <f>IF($BO$159=12,"Schwarz","")</f>
      </c>
      <c r="BD6" s="1">
        <f>IF($BO$159=13,"Weiß","")</f>
      </c>
      <c r="BE6" s="1">
        <f>IF($BO$159=14,"Schwarz","")</f>
      </c>
      <c r="BF6" s="1">
        <f>IF($BO$159=15,"Weiß","")</f>
      </c>
      <c r="BG6" s="1">
        <f>IF($BO$159=16,"Schwarz","")</f>
      </c>
      <c r="BH6" s="1">
        <f>IF($BO$159=17,"Weiß","")</f>
      </c>
      <c r="BI6" s="1" t="str">
        <f>AR6&amp;AS6&amp;AT6&amp;AU6&amp;AV6&amp;AW6&amp;AX6&amp;AY6&amp;AZ6&amp;BA6&amp;BB6&amp;BC6&amp;BD6&amp;BE6&amp;BF6&amp;BG6&amp;BH6</f>
        <v>Weiß</v>
      </c>
      <c r="BK6" s="1">
        <f aca="true" t="shared" si="0" ref="BK6:BK69">IF($BK$4=BO6,BL6,0)</f>
        <v>0</v>
      </c>
      <c r="BL6" s="1">
        <v>1</v>
      </c>
      <c r="BM6" s="1">
        <f aca="true" t="shared" si="1" ref="BM6:BM69">IF($BM$4=BO6,BN6,0)</f>
        <v>0</v>
      </c>
      <c r="BN6" s="1">
        <v>1</v>
      </c>
      <c r="BO6" s="1">
        <v>1</v>
      </c>
    </row>
    <row r="7" spans="2:67" ht="12.75">
      <c r="B7" s="16" t="str">
        <f>BI24</f>
        <v>Spieler 18 / spielfrei</v>
      </c>
      <c r="C7" s="12"/>
      <c r="D7" s="12"/>
      <c r="E7" s="12"/>
      <c r="F7" s="16" t="str">
        <f>BI23</f>
        <v>Spieler 17</v>
      </c>
      <c r="G7" s="16"/>
      <c r="H7" s="16"/>
      <c r="I7" s="12"/>
      <c r="J7" s="16" t="str">
        <f>BI22</f>
        <v>Spieler 16</v>
      </c>
      <c r="K7" s="12"/>
      <c r="L7" s="12"/>
      <c r="M7" s="12"/>
      <c r="N7" s="16" t="str">
        <f>BI21</f>
        <v>Spieler 15</v>
      </c>
      <c r="O7" s="16"/>
      <c r="P7" s="16"/>
      <c r="Q7" s="12"/>
      <c r="R7" s="16" t="str">
        <f>BI20</f>
        <v>Spieler 14</v>
      </c>
      <c r="S7" s="12"/>
      <c r="T7" s="12"/>
      <c r="U7" s="12"/>
      <c r="V7" s="16" t="str">
        <f>BI19</f>
        <v>Spieler 13</v>
      </c>
      <c r="W7" s="16"/>
      <c r="X7" s="16"/>
      <c r="Y7" s="12"/>
      <c r="Z7" s="16" t="str">
        <f>BI18</f>
        <v>Spieler 12</v>
      </c>
      <c r="AA7" s="12"/>
      <c r="AB7" s="12"/>
      <c r="AC7" s="12"/>
      <c r="AD7" s="16" t="str">
        <f>BI17</f>
        <v>Spieler 11</v>
      </c>
      <c r="AE7" s="16"/>
      <c r="AF7" s="16"/>
      <c r="AG7" s="12"/>
      <c r="AH7" s="16" t="str">
        <f>BI16</f>
        <v>Spieler 10</v>
      </c>
      <c r="AI7" s="12"/>
      <c r="AJ7" s="12"/>
      <c r="AK7" s="18"/>
      <c r="AL7" s="70"/>
      <c r="AM7" s="70"/>
      <c r="AN7" s="18"/>
      <c r="AO7" s="17"/>
      <c r="AQ7" s="1">
        <v>1</v>
      </c>
      <c r="AR7" s="1" t="str">
        <f>IF($BO$159=1,Eingabe!$C$6,"")</f>
        <v>Spieler 1</v>
      </c>
      <c r="AS7" s="1">
        <f>IF($BO$159=2,Eingabe!$G$12,"")</f>
      </c>
      <c r="AT7" s="1">
        <f>IF($BO$159=3,Eingabe!$G$11,"")</f>
      </c>
      <c r="AU7" s="1">
        <f>IF($BO$159=4,Eingabe!$G$10,"")</f>
      </c>
      <c r="AV7" s="1">
        <f>IF($BO$159=5,Eingabe!$G$9,"")</f>
      </c>
      <c r="AW7" s="1">
        <f>IF($BO$159=6,Eingabe!$G$8,"")</f>
      </c>
      <c r="AX7" s="1">
        <f>IF($BO$159=7,Eingabe!$G$7,"")</f>
      </c>
      <c r="AY7" s="1">
        <f>IF($BO$159=8,Eingabe!$G$6,"")</f>
      </c>
      <c r="AZ7" s="1">
        <f>IF($BO$159=9,Eingabe!$C$15,"")</f>
      </c>
      <c r="BA7" s="1">
        <f>IF($BO$159=10,Eingabe!$C$14,"")</f>
      </c>
      <c r="BB7" s="1">
        <f>IF($BO$159=11,Eingabe!$C$13,"")</f>
      </c>
      <c r="BC7" s="1">
        <f>IF($BO$159=12,Eingabe!$C$12,"")</f>
      </c>
      <c r="BD7" s="1">
        <f>IF($BO$159=13,Eingabe!$C$11,"")</f>
      </c>
      <c r="BE7" s="1">
        <f>IF($BO$159=14,Eingabe!$C$10,"")</f>
      </c>
      <c r="BF7" s="1">
        <f>IF($BO$159=15,Eingabe!$C$9,"")</f>
      </c>
      <c r="BG7" s="1">
        <f>IF($BO$159=16,Eingabe!$C$8,"")</f>
      </c>
      <c r="BH7" s="1">
        <f>IF($BO$159=17,Eingabe!$C$7,"")</f>
      </c>
      <c r="BI7" s="1" t="str">
        <f aca="true" t="shared" si="2" ref="BI7:BI24">AR7&amp;AS7&amp;AT7&amp;AU7&amp;AV7&amp;AW7&amp;AX7&amp;AY7&amp;AZ7&amp;BA7&amp;BB7&amp;BC7&amp;BD7&amp;BE7&amp;BF7&amp;BG7&amp;BH7</f>
        <v>Spieler 1</v>
      </c>
      <c r="BK7" s="1">
        <f t="shared" si="0"/>
        <v>0</v>
      </c>
      <c r="BL7" s="1">
        <v>1</v>
      </c>
      <c r="BM7" s="1">
        <f t="shared" si="1"/>
        <v>0</v>
      </c>
      <c r="BN7" s="1">
        <v>1</v>
      </c>
      <c r="BO7" s="1">
        <v>2</v>
      </c>
    </row>
    <row r="8" spans="2:67" ht="12.75">
      <c r="B8" s="185" t="s">
        <v>56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2"/>
      <c r="AM8" s="2"/>
      <c r="AN8" s="2"/>
      <c r="AO8" s="2"/>
      <c r="AQ8" s="1">
        <v>2</v>
      </c>
      <c r="AR8" s="1" t="str">
        <f>IF($BO$159=1,Eingabe!$C$7,"")</f>
        <v>Spieler 2</v>
      </c>
      <c r="AS8" s="1">
        <f>IF($BO$159=2,Eingabe!$C$6,"")</f>
      </c>
      <c r="AT8" s="1">
        <f>IF($BO$159=3,Eingabe!$G$12,"")</f>
      </c>
      <c r="AU8" s="1">
        <f>IF($BO$159=4,Eingabe!$G$11,"")</f>
      </c>
      <c r="AV8" s="1">
        <f>IF($BO$159=5,Eingabe!$G$10,"")</f>
      </c>
      <c r="AW8" s="1">
        <f>IF($BO$159=6,Eingabe!$G$9,"")</f>
      </c>
      <c r="AX8" s="1">
        <f>IF($BO$159=7,Eingabe!$G$8,"")</f>
      </c>
      <c r="AY8" s="1">
        <f>IF($BO$159=8,Eingabe!$G$7,"")</f>
      </c>
      <c r="AZ8" s="1">
        <f>IF($BO$159=9,Eingabe!$G$6,"")</f>
      </c>
      <c r="BA8" s="1">
        <f>IF($BO$159=10,Eingabe!$C$15,"")</f>
      </c>
      <c r="BB8" s="1">
        <f>IF($BO$159=11,Eingabe!$C$14,"")</f>
      </c>
      <c r="BC8" s="1">
        <f>IF($BO$159=12,Eingabe!$C$13,"")</f>
      </c>
      <c r="BD8" s="1">
        <f>IF($BO$159=13,Eingabe!$C$12,"")</f>
      </c>
      <c r="BE8" s="1">
        <f>IF($BO$159=14,Eingabe!$C$11,"")</f>
      </c>
      <c r="BF8" s="1">
        <f>IF($BO$159=15,Eingabe!$C$10,"")</f>
      </c>
      <c r="BG8" s="1">
        <f>IF($BO$159=16,Eingabe!$C$9,"")</f>
      </c>
      <c r="BH8" s="1">
        <f>IF($BO$159=17,Eingabe!$C$8,"")</f>
      </c>
      <c r="BI8" s="1" t="str">
        <f t="shared" si="2"/>
        <v>Spieler 2</v>
      </c>
      <c r="BK8" s="1">
        <f t="shared" si="0"/>
        <v>0</v>
      </c>
      <c r="BL8" s="1">
        <v>1</v>
      </c>
      <c r="BM8" s="1">
        <f t="shared" si="1"/>
        <v>0</v>
      </c>
      <c r="BN8" s="1">
        <v>1</v>
      </c>
      <c r="BO8" s="1">
        <v>3</v>
      </c>
    </row>
    <row r="9" spans="1:67" ht="12.7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Q9" s="1">
        <v>3</v>
      </c>
      <c r="AR9" s="1" t="str">
        <f>IF($BO$159=1,Eingabe!$C$8,"")</f>
        <v>Spieler 3</v>
      </c>
      <c r="AS9" s="1">
        <f>IF($BO$159=2,Eingabe!$C$7,"")</f>
      </c>
      <c r="AT9" s="1">
        <f>IF($BO$159=3,Eingabe!$C$6,"")</f>
      </c>
      <c r="AU9" s="1">
        <f>IF($BO$159=4,Eingabe!$G$12,"")</f>
      </c>
      <c r="AV9" s="1">
        <f>IF($BO$159=5,Eingabe!$G$11,"")</f>
      </c>
      <c r="AW9" s="1">
        <f>IF($BO$159=6,Eingabe!$G$10,"")</f>
      </c>
      <c r="AX9" s="1">
        <f>IF($BO$159=7,Eingabe!$G$9,"")</f>
      </c>
      <c r="AY9" s="1">
        <f>IF($BO$159=8,Eingabe!$G$8,"")</f>
      </c>
      <c r="AZ9" s="1">
        <f>IF($BO$159=9,Eingabe!$G$7,"")</f>
      </c>
      <c r="BA9" s="1">
        <f>IF($BO$159=10,Eingabe!$G$6,"")</f>
      </c>
      <c r="BB9" s="1">
        <f>IF($BO$159=11,Eingabe!$C$15,"")</f>
      </c>
      <c r="BC9" s="1">
        <f>IF($BO$159=12,Eingabe!$C$14,"")</f>
      </c>
      <c r="BD9" s="1">
        <f>IF($BO$159=13,Eingabe!$C$13,"")</f>
      </c>
      <c r="BE9" s="1">
        <f>IF($BO$159=14,Eingabe!$C$12,"")</f>
      </c>
      <c r="BF9" s="1">
        <f>IF($BO$159=15,Eingabe!$C$11,"")</f>
      </c>
      <c r="BG9" s="1">
        <f>IF($BO$159=16,Eingabe!$C$10,"")</f>
      </c>
      <c r="BH9" s="1">
        <f>IF($BO$159=17,Eingabe!$C$9,"")</f>
      </c>
      <c r="BI9" s="1" t="str">
        <f t="shared" si="2"/>
        <v>Spieler 3</v>
      </c>
      <c r="BK9" s="1">
        <f t="shared" si="0"/>
        <v>0</v>
      </c>
      <c r="BL9" s="1">
        <v>1</v>
      </c>
      <c r="BM9" s="1">
        <f t="shared" si="1"/>
        <v>0</v>
      </c>
      <c r="BN9" s="1">
        <v>1</v>
      </c>
      <c r="BO9" s="1">
        <v>4</v>
      </c>
    </row>
    <row r="10" spans="4:67" ht="12.75">
      <c r="D10" s="11" t="s">
        <v>21</v>
      </c>
      <c r="L10" s="11" t="s">
        <v>22</v>
      </c>
      <c r="T10" s="11" t="s">
        <v>23</v>
      </c>
      <c r="AB10" s="11" t="s">
        <v>24</v>
      </c>
      <c r="AJ10" s="11" t="s">
        <v>25</v>
      </c>
      <c r="AQ10" s="1">
        <v>4</v>
      </c>
      <c r="AR10" s="1" t="str">
        <f>IF($BO$159=1,Eingabe!$C$9,"")</f>
        <v>Spieler 4</v>
      </c>
      <c r="AS10" s="1">
        <f>IF($BO$159=2,Eingabe!$C$8,"")</f>
      </c>
      <c r="AT10" s="1">
        <f>IF($BO$159=3,Eingabe!$C$7,"")</f>
      </c>
      <c r="AU10" s="1">
        <f>IF($BO$159=4,Eingabe!$C$6,"")</f>
      </c>
      <c r="AV10" s="1">
        <f>IF($BO$159=5,Eingabe!$G$12,"")</f>
      </c>
      <c r="AW10" s="1">
        <f>IF($BO$159=6,Eingabe!$G$11,"")</f>
      </c>
      <c r="AX10" s="1">
        <f>IF($BO$159=7,Eingabe!$G$10,"")</f>
      </c>
      <c r="AY10" s="1">
        <f>IF($BO$159=8,Eingabe!$G$9,"")</f>
      </c>
      <c r="AZ10" s="1">
        <f>IF($BO$159=9,Eingabe!$G$8,"")</f>
      </c>
      <c r="BA10" s="1">
        <f>IF($BO$159=10,Eingabe!$G$7,"")</f>
      </c>
      <c r="BB10" s="1">
        <f>IF($BO$159=11,Eingabe!$G$6,"")</f>
      </c>
      <c r="BC10" s="1">
        <f>IF($BO$159=12,Eingabe!$C$15,"")</f>
      </c>
      <c r="BD10" s="1">
        <f>IF($BO$159=13,Eingabe!$C$14,"")</f>
      </c>
      <c r="BE10" s="1">
        <f>IF($BO$159=14,Eingabe!$C$13,"")</f>
      </c>
      <c r="BF10" s="1">
        <f>IF($BO$159=15,Eingabe!$C$12,"")</f>
      </c>
      <c r="BG10" s="1">
        <f>IF($BO$159=16,Eingabe!$C$11,"")</f>
      </c>
      <c r="BH10" s="1">
        <f>IF($BO$159=17,Eingabe!$C$10,"")</f>
      </c>
      <c r="BI10" s="1" t="str">
        <f t="shared" si="2"/>
        <v>Spieler 4</v>
      </c>
      <c r="BK10" s="1">
        <f t="shared" si="0"/>
        <v>0</v>
      </c>
      <c r="BL10" s="1">
        <v>1</v>
      </c>
      <c r="BM10" s="1">
        <f t="shared" si="1"/>
        <v>0</v>
      </c>
      <c r="BN10" s="1">
        <v>1</v>
      </c>
      <c r="BO10" s="1">
        <v>5</v>
      </c>
    </row>
    <row r="11" spans="3:67" ht="6" customHeight="1">
      <c r="C11" s="11"/>
      <c r="K11" s="11"/>
      <c r="S11" s="11"/>
      <c r="AA11" s="11"/>
      <c r="AI11" s="13"/>
      <c r="AQ11" s="1">
        <v>5</v>
      </c>
      <c r="AR11" s="1" t="str">
        <f>IF($BO$159=1,Eingabe!$C$10,"")</f>
        <v>Spieler 5</v>
      </c>
      <c r="AS11" s="1">
        <f>IF($BO$159=2,Eingabe!$C$9,"")</f>
      </c>
      <c r="AT11" s="1">
        <f>IF($BO$159=3,Eingabe!$C$8,"")</f>
      </c>
      <c r="AU11" s="1">
        <f>IF($BO$159=4,Eingabe!$C$7,"")</f>
      </c>
      <c r="AV11" s="1">
        <f>IF($BO$159=5,Eingabe!$C$6,"")</f>
      </c>
      <c r="AW11" s="1">
        <f>IF($BO$159=6,Eingabe!$G$12,"")</f>
      </c>
      <c r="AX11" s="1">
        <f>IF($BO$159=7,Eingabe!$G$11,"")</f>
      </c>
      <c r="AY11" s="1">
        <f>IF($BO$159=8,Eingabe!$G$10,"")</f>
      </c>
      <c r="AZ11" s="1">
        <f>IF($BO$159=9,Eingabe!$G$9,"")</f>
      </c>
      <c r="BA11" s="1">
        <f>IF($BO$159=10,Eingabe!$G$8,"")</f>
      </c>
      <c r="BB11" s="1">
        <f>IF($BO$159=11,Eingabe!$G$7,"")</f>
      </c>
      <c r="BC11" s="1">
        <f>IF($BO$159=12,Eingabe!$G$6,"")</f>
      </c>
      <c r="BD11" s="1">
        <f>IF($BO$159=13,Eingabe!$C$15,"")</f>
      </c>
      <c r="BE11" s="1">
        <f>IF($BO$159=14,Eingabe!$C$14,"")</f>
      </c>
      <c r="BF11" s="1">
        <f>IF($BO$159=15,Eingabe!$C$13,"")</f>
      </c>
      <c r="BG11" s="1">
        <f>IF($BO$159=16,Eingabe!$C$12,"")</f>
      </c>
      <c r="BH11" s="1">
        <f>IF($BO$159=17,Eingabe!$C$11,"")</f>
      </c>
      <c r="BI11" s="1" t="str">
        <f t="shared" si="2"/>
        <v>Spieler 5</v>
      </c>
      <c r="BK11" s="1">
        <f t="shared" si="0"/>
        <v>0</v>
      </c>
      <c r="BL11" s="1">
        <v>1</v>
      </c>
      <c r="BM11" s="1">
        <f t="shared" si="1"/>
        <v>0</v>
      </c>
      <c r="BN11" s="1">
        <v>1</v>
      </c>
      <c r="BO11" s="1">
        <v>6</v>
      </c>
    </row>
    <row r="12" spans="1:67" ht="12.75">
      <c r="A12" t="str">
        <f>IF(Eingabe!$G$13="spielfrei","","Tisch 1 :")</f>
        <v>Tisch 1 :</v>
      </c>
      <c r="C12" s="15" t="str">
        <f>Eingabe!$C$6</f>
        <v>Spieler 1</v>
      </c>
      <c r="D12" s="1" t="s">
        <v>1</v>
      </c>
      <c r="E12" s="15" t="str">
        <f>Eingabe!$G$13</f>
        <v>Spieler 18 / spielfrei</v>
      </c>
      <c r="F12" s="15"/>
      <c r="G12" s="1" t="s">
        <v>26</v>
      </c>
      <c r="H12" s="1" t="str">
        <f>IF($B$7="spielfrei"," ",":")</f>
        <v>:</v>
      </c>
      <c r="I12" s="5" t="str">
        <f aca="true" t="shared" si="3" ref="I12:I20">IF(G12&lt;=1,1-G12," ")</f>
        <v> </v>
      </c>
      <c r="J12" s="3"/>
      <c r="K12" s="15" t="str">
        <f>Eingabe!$G$12</f>
        <v>Spieler 17</v>
      </c>
      <c r="L12" s="1" t="s">
        <v>1</v>
      </c>
      <c r="M12" s="15" t="str">
        <f>Eingabe!$G$13</f>
        <v>Spieler 18 / spielfrei</v>
      </c>
      <c r="N12" s="15"/>
      <c r="O12" s="1" t="s">
        <v>26</v>
      </c>
      <c r="P12" s="1" t="str">
        <f>IF($B$7="spielfrei"," ",":")</f>
        <v>:</v>
      </c>
      <c r="Q12" s="5" t="str">
        <f aca="true" t="shared" si="4" ref="Q12:Q20">IF(O12&lt;=1,1-O12," ")</f>
        <v> </v>
      </c>
      <c r="R12" s="3"/>
      <c r="S12" s="15" t="str">
        <f>Eingabe!$G$11</f>
        <v>Spieler 16</v>
      </c>
      <c r="T12" s="1" t="s">
        <v>1</v>
      </c>
      <c r="U12" s="15" t="str">
        <f>Eingabe!$G$13</f>
        <v>Spieler 18 / spielfrei</v>
      </c>
      <c r="V12" s="15"/>
      <c r="W12" s="1" t="s">
        <v>26</v>
      </c>
      <c r="X12" s="1" t="str">
        <f>IF($B$7="spielfrei"," ",":")</f>
        <v>:</v>
      </c>
      <c r="Y12" s="5" t="str">
        <f aca="true" t="shared" si="5" ref="Y12:Y20">IF(W12&lt;=1,1-W12," ")</f>
        <v> </v>
      </c>
      <c r="Z12" s="3"/>
      <c r="AA12" s="15" t="str">
        <f>Eingabe!$G$10</f>
        <v>Spieler 15</v>
      </c>
      <c r="AB12" s="1" t="s">
        <v>1</v>
      </c>
      <c r="AC12" s="15" t="str">
        <f>Eingabe!$G$13</f>
        <v>Spieler 18 / spielfrei</v>
      </c>
      <c r="AD12" s="15"/>
      <c r="AE12" s="1" t="s">
        <v>26</v>
      </c>
      <c r="AF12" s="1" t="str">
        <f>IF($B$7="spielfrei"," ",":")</f>
        <v>:</v>
      </c>
      <c r="AG12" s="5" t="str">
        <f aca="true" t="shared" si="6" ref="AG12:AG20">IF(AE12&lt;=1,1-AE12," ")</f>
        <v> </v>
      </c>
      <c r="AH12" s="3"/>
      <c r="AI12" s="15" t="str">
        <f>Eingabe!$G$9</f>
        <v>Spieler 14</v>
      </c>
      <c r="AJ12" s="1" t="s">
        <v>1</v>
      </c>
      <c r="AK12" s="15" t="str">
        <f>Eingabe!$G$13</f>
        <v>Spieler 18 / spielfrei</v>
      </c>
      <c r="AL12" s="15"/>
      <c r="AM12" s="1" t="s">
        <v>26</v>
      </c>
      <c r="AN12" s="1" t="str">
        <f>IF($B$7="spielfrei"," ",":")</f>
        <v>:</v>
      </c>
      <c r="AO12" s="3" t="str">
        <f aca="true" t="shared" si="7" ref="AO12:AO20">IF(AM12&lt;=1,1-AM12," ")</f>
        <v> </v>
      </c>
      <c r="AP12" s="2"/>
      <c r="AQ12" s="1">
        <v>6</v>
      </c>
      <c r="AR12" s="1" t="str">
        <f>IF($BO$159=1,Eingabe!$C$11,"")</f>
        <v>Spieler 6</v>
      </c>
      <c r="AS12" s="1">
        <f>IF($BO$159=2,Eingabe!$C$10,"")</f>
      </c>
      <c r="AT12" s="1">
        <f>IF($BO$159=3,Eingabe!$C$9,"")</f>
      </c>
      <c r="AU12" s="1">
        <f>IF($BO$159=4,Eingabe!$C$8,"")</f>
      </c>
      <c r="AV12" s="1">
        <f>IF($BO$159=5,Eingabe!$C$7,"")</f>
      </c>
      <c r="AW12" s="1">
        <f>IF($BO$159=6,Eingabe!$C$6,"")</f>
      </c>
      <c r="AX12" s="1">
        <f>IF($BO$159=7,Eingabe!$G$12,"")</f>
      </c>
      <c r="AY12" s="1">
        <f>IF($BO$159=8,Eingabe!$G$11,"")</f>
      </c>
      <c r="AZ12" s="1">
        <f>IF($BO$159=9,Eingabe!$G$10,"")</f>
      </c>
      <c r="BA12" s="1">
        <f>IF($BO$159=10,Eingabe!$G$9,"")</f>
      </c>
      <c r="BB12" s="1">
        <f>IF($BO$159=11,Eingabe!$G$8,"")</f>
      </c>
      <c r="BC12" s="1">
        <f>IF($BO$159=12,Eingabe!$G$7,"")</f>
      </c>
      <c r="BD12" s="1">
        <f>IF($BO$159=13,Eingabe!$G$6,"")</f>
      </c>
      <c r="BE12" s="1">
        <f>IF($BO$159=14,Eingabe!$C$15,"")</f>
      </c>
      <c r="BF12" s="1">
        <f>IF($BO$159=15,Eingabe!$C$14,"")</f>
      </c>
      <c r="BG12" s="1">
        <f>IF($BO$159=16,Eingabe!$C$13,"")</f>
      </c>
      <c r="BH12" s="1">
        <f>IF($BO$159=17,Eingabe!$C$12,"")</f>
      </c>
      <c r="BI12" s="1" t="str">
        <f t="shared" si="2"/>
        <v>Spieler 6</v>
      </c>
      <c r="BK12" s="1">
        <f t="shared" si="0"/>
        <v>0</v>
      </c>
      <c r="BL12" s="1">
        <v>1</v>
      </c>
      <c r="BM12" s="1">
        <f t="shared" si="1"/>
        <v>0</v>
      </c>
      <c r="BN12" s="1">
        <v>1</v>
      </c>
      <c r="BO12" s="1">
        <v>7</v>
      </c>
    </row>
    <row r="13" spans="1:67" ht="12.75">
      <c r="A13" t="str">
        <f>IF(Eingabe!$G$13="spielfrei","Tisch 1 :","Tisch 2 :")</f>
        <v>Tisch 2 :</v>
      </c>
      <c r="C13" s="15" t="str">
        <f>Eingabe!$G$12</f>
        <v>Spieler 17</v>
      </c>
      <c r="D13" s="1" t="s">
        <v>1</v>
      </c>
      <c r="E13" s="15" t="str">
        <f>Eingabe!$C$7</f>
        <v>Spieler 2</v>
      </c>
      <c r="F13" s="15"/>
      <c r="G13" s="1" t="s">
        <v>26</v>
      </c>
      <c r="H13" s="1" t="s">
        <v>1</v>
      </c>
      <c r="I13" s="5" t="str">
        <f t="shared" si="3"/>
        <v> </v>
      </c>
      <c r="J13" s="3"/>
      <c r="K13" s="15" t="str">
        <f>Eingabe!$G$11</f>
        <v>Spieler 16</v>
      </c>
      <c r="L13" s="1" t="s">
        <v>1</v>
      </c>
      <c r="M13" s="15" t="str">
        <f>Eingabe!$C$6</f>
        <v>Spieler 1</v>
      </c>
      <c r="N13" s="15"/>
      <c r="O13" s="1" t="s">
        <v>26</v>
      </c>
      <c r="P13" s="1" t="s">
        <v>1</v>
      </c>
      <c r="Q13" s="5" t="str">
        <f t="shared" si="4"/>
        <v> </v>
      </c>
      <c r="R13" s="3"/>
      <c r="S13" s="15" t="str">
        <f>Eingabe!$G$10</f>
        <v>Spieler 15</v>
      </c>
      <c r="T13" s="1" t="s">
        <v>1</v>
      </c>
      <c r="U13" s="15" t="str">
        <f>Eingabe!$G$12</f>
        <v>Spieler 17</v>
      </c>
      <c r="V13" s="15"/>
      <c r="W13" s="1" t="s">
        <v>26</v>
      </c>
      <c r="X13" s="1" t="s">
        <v>1</v>
      </c>
      <c r="Y13" s="5" t="str">
        <f t="shared" si="5"/>
        <v> </v>
      </c>
      <c r="Z13" s="3"/>
      <c r="AA13" s="15" t="str">
        <f>Eingabe!$G$9</f>
        <v>Spieler 14</v>
      </c>
      <c r="AB13" s="1" t="s">
        <v>1</v>
      </c>
      <c r="AC13" s="15" t="str">
        <f>Eingabe!$G$11</f>
        <v>Spieler 16</v>
      </c>
      <c r="AD13" s="15"/>
      <c r="AE13" s="1" t="s">
        <v>26</v>
      </c>
      <c r="AF13" s="1" t="s">
        <v>1</v>
      </c>
      <c r="AG13" s="5" t="str">
        <f t="shared" si="6"/>
        <v> </v>
      </c>
      <c r="AH13" s="3"/>
      <c r="AI13" s="15" t="str">
        <f>Eingabe!$G$8</f>
        <v>Spieler 13</v>
      </c>
      <c r="AJ13" s="1" t="s">
        <v>1</v>
      </c>
      <c r="AK13" s="15" t="str">
        <f>Eingabe!$G$10</f>
        <v>Spieler 15</v>
      </c>
      <c r="AL13" s="15"/>
      <c r="AM13" s="1" t="s">
        <v>26</v>
      </c>
      <c r="AN13" s="1" t="s">
        <v>1</v>
      </c>
      <c r="AO13" s="3" t="str">
        <f t="shared" si="7"/>
        <v> </v>
      </c>
      <c r="AP13" s="2"/>
      <c r="AQ13" s="1">
        <v>7</v>
      </c>
      <c r="AR13" s="1" t="str">
        <f>IF($BO$159=1,Eingabe!$C$12,"")</f>
        <v>Spieler 7</v>
      </c>
      <c r="AS13" s="1">
        <f>IF($BO$159=2,Eingabe!$C$11,"")</f>
      </c>
      <c r="AT13" s="1">
        <f>IF($BO$159=3,Eingabe!$C$10,"")</f>
      </c>
      <c r="AU13" s="1">
        <f>IF($BO$159=4,Eingabe!$C$9,"")</f>
      </c>
      <c r="AV13" s="1">
        <f>IF($BO$159=5,Eingabe!$C$8,"")</f>
      </c>
      <c r="AW13" s="1">
        <f>IF($BO$159=6,Eingabe!$C$7,"")</f>
      </c>
      <c r="AX13" s="1">
        <f>IF($BO$159=7,Eingabe!$C$6,"")</f>
      </c>
      <c r="AY13" s="1">
        <f>IF($BO$159=8,Eingabe!$G$12,"")</f>
      </c>
      <c r="AZ13" s="1">
        <f>IF($BO$159=9,Eingabe!$G$11,"")</f>
      </c>
      <c r="BA13" s="1">
        <f>IF($BO$159=10,Eingabe!$G$10,"")</f>
      </c>
      <c r="BB13" s="1">
        <f>IF($BO$159=11,Eingabe!$G$9,"")</f>
      </c>
      <c r="BC13" s="1">
        <f>IF($BO$159=12,Eingabe!$G$8,"")</f>
      </c>
      <c r="BD13" s="1">
        <f>IF($BO$159=13,Eingabe!$G$7,"")</f>
      </c>
      <c r="BE13" s="1">
        <f>IF($BO$159=14,Eingabe!$G$6,"")</f>
      </c>
      <c r="BF13" s="1">
        <f>IF($BO$159=15,Eingabe!$C$15,"")</f>
      </c>
      <c r="BG13" s="1">
        <f>IF($BO$159=16,Eingabe!$C$14,"")</f>
      </c>
      <c r="BH13" s="1">
        <f>IF($BO$159=17,Eingabe!$C$13,"")</f>
      </c>
      <c r="BI13" s="1" t="str">
        <f t="shared" si="2"/>
        <v>Spieler 7</v>
      </c>
      <c r="BK13" s="1">
        <f t="shared" si="0"/>
        <v>0</v>
      </c>
      <c r="BL13" s="1">
        <v>2</v>
      </c>
      <c r="BM13" s="1">
        <f t="shared" si="1"/>
        <v>0</v>
      </c>
      <c r="BN13" s="1">
        <v>1</v>
      </c>
      <c r="BO13" s="1">
        <v>8</v>
      </c>
    </row>
    <row r="14" spans="1:67" ht="12.75">
      <c r="A14" t="str">
        <f>IF(Eingabe!$G$13="spielfrei","Tisch 2 :","Tisch 3 :")</f>
        <v>Tisch 3 :</v>
      </c>
      <c r="C14" s="15" t="str">
        <f>Eingabe!$G$11</f>
        <v>Spieler 16</v>
      </c>
      <c r="D14" s="1" t="s">
        <v>1</v>
      </c>
      <c r="E14" s="15" t="str">
        <f>Eingabe!$C$8</f>
        <v>Spieler 3</v>
      </c>
      <c r="F14" s="15"/>
      <c r="G14" s="1" t="s">
        <v>26</v>
      </c>
      <c r="H14" s="1" t="s">
        <v>1</v>
      </c>
      <c r="I14" s="5" t="str">
        <f t="shared" si="3"/>
        <v> </v>
      </c>
      <c r="J14" s="3"/>
      <c r="K14" s="15" t="str">
        <f>Eingabe!$G$10</f>
        <v>Spieler 15</v>
      </c>
      <c r="L14" s="1" t="s">
        <v>1</v>
      </c>
      <c r="M14" s="15" t="str">
        <f>Eingabe!$C$7</f>
        <v>Spieler 2</v>
      </c>
      <c r="N14" s="15"/>
      <c r="O14" s="1" t="s">
        <v>26</v>
      </c>
      <c r="P14" s="1" t="s">
        <v>1</v>
      </c>
      <c r="Q14" s="5" t="str">
        <f t="shared" si="4"/>
        <v> </v>
      </c>
      <c r="R14" s="3"/>
      <c r="S14" s="15" t="str">
        <f>Eingabe!$G$9</f>
        <v>Spieler 14</v>
      </c>
      <c r="T14" s="1" t="s">
        <v>1</v>
      </c>
      <c r="U14" s="15" t="str">
        <f>Eingabe!$C$6</f>
        <v>Spieler 1</v>
      </c>
      <c r="V14" s="15"/>
      <c r="W14" s="1" t="s">
        <v>26</v>
      </c>
      <c r="X14" s="1" t="s">
        <v>1</v>
      </c>
      <c r="Y14" s="5" t="str">
        <f t="shared" si="5"/>
        <v> </v>
      </c>
      <c r="Z14" s="3"/>
      <c r="AA14" s="15" t="str">
        <f>Eingabe!$G$8</f>
        <v>Spieler 13</v>
      </c>
      <c r="AB14" s="1" t="s">
        <v>1</v>
      </c>
      <c r="AC14" s="15" t="str">
        <f>Eingabe!$G$12</f>
        <v>Spieler 17</v>
      </c>
      <c r="AD14" s="15"/>
      <c r="AE14" s="1" t="s">
        <v>26</v>
      </c>
      <c r="AF14" s="1" t="s">
        <v>1</v>
      </c>
      <c r="AG14" s="5" t="str">
        <f t="shared" si="6"/>
        <v> </v>
      </c>
      <c r="AH14" s="3"/>
      <c r="AI14" s="15" t="str">
        <f>Eingabe!$G$7</f>
        <v>Spieler 12</v>
      </c>
      <c r="AJ14" s="1" t="s">
        <v>1</v>
      </c>
      <c r="AK14" s="15" t="str">
        <f>Eingabe!$G$11</f>
        <v>Spieler 16</v>
      </c>
      <c r="AL14" s="15"/>
      <c r="AM14" s="1" t="s">
        <v>26</v>
      </c>
      <c r="AN14" s="1" t="s">
        <v>1</v>
      </c>
      <c r="AO14" s="3" t="str">
        <f t="shared" si="7"/>
        <v> </v>
      </c>
      <c r="AP14" s="2"/>
      <c r="AQ14" s="1">
        <v>8</v>
      </c>
      <c r="AR14" s="1" t="str">
        <f>IF($BO$159=1,Eingabe!$C$13,"")</f>
        <v>Spieler 8</v>
      </c>
      <c r="AS14" s="1">
        <f>IF($BO$159=2,Eingabe!$C$12,"")</f>
      </c>
      <c r="AT14" s="1">
        <f>IF($BO$159=3,Eingabe!$C$11,"")</f>
      </c>
      <c r="AU14" s="1">
        <f>IF($BO$159=4,Eingabe!$C$10,"")</f>
      </c>
      <c r="AV14" s="1">
        <f>IF($BO$159=5,Eingabe!$C$9,"")</f>
      </c>
      <c r="AW14" s="1">
        <f>IF($BO$159=6,Eingabe!$C$8,"")</f>
      </c>
      <c r="AX14" s="1">
        <f>IF($BO$159=7,Eingabe!$C$7,"")</f>
      </c>
      <c r="AY14" s="1">
        <f>IF($BO$159=8,Eingabe!$C$6,"")</f>
      </c>
      <c r="AZ14" s="1">
        <f>IF($BO$159=9,Eingabe!$G$12,"")</f>
      </c>
      <c r="BA14" s="1">
        <f>IF($BO$159=10,Eingabe!$G$11,"")</f>
      </c>
      <c r="BB14" s="1">
        <f>IF($BO$159=11,Eingabe!$G$10,"")</f>
      </c>
      <c r="BC14" s="1">
        <f>IF($BO$159=12,Eingabe!$G$9,"")</f>
      </c>
      <c r="BD14" s="1">
        <f>IF($BO$159=13,Eingabe!$G$8,"")</f>
      </c>
      <c r="BE14" s="1">
        <f>IF($BO$159=14,Eingabe!$G$7,"")</f>
      </c>
      <c r="BF14" s="1">
        <f>IF($BO$159=15,Eingabe!$G$6,"")</f>
      </c>
      <c r="BG14" s="1">
        <f>IF($BO$159=16,Eingabe!$C$15,"")</f>
      </c>
      <c r="BH14" s="1">
        <f>IF($BO$159=17,Eingabe!$C$14,"")</f>
      </c>
      <c r="BI14" s="1" t="str">
        <f t="shared" si="2"/>
        <v>Spieler 8</v>
      </c>
      <c r="BK14" s="1">
        <f t="shared" si="0"/>
        <v>0</v>
      </c>
      <c r="BL14" s="1">
        <v>2</v>
      </c>
      <c r="BM14" s="1">
        <f t="shared" si="1"/>
        <v>0</v>
      </c>
      <c r="BN14" s="1">
        <v>2</v>
      </c>
      <c r="BO14" s="1">
        <v>9</v>
      </c>
    </row>
    <row r="15" spans="1:67" ht="12.75">
      <c r="A15" t="str">
        <f>IF(Eingabe!$G$13="spielfrei","Tisch 3 :","Tisch 4 :")</f>
        <v>Tisch 4 :</v>
      </c>
      <c r="C15" s="15" t="str">
        <f>Eingabe!$G$10</f>
        <v>Spieler 15</v>
      </c>
      <c r="D15" s="1" t="s">
        <v>1</v>
      </c>
      <c r="E15" s="15" t="str">
        <f>Eingabe!$C$9</f>
        <v>Spieler 4</v>
      </c>
      <c r="F15" s="15"/>
      <c r="G15" s="1" t="s">
        <v>26</v>
      </c>
      <c r="H15" s="1" t="s">
        <v>1</v>
      </c>
      <c r="I15" s="5" t="str">
        <f t="shared" si="3"/>
        <v> </v>
      </c>
      <c r="J15" s="3"/>
      <c r="K15" s="15" t="str">
        <f>Eingabe!$G$9</f>
        <v>Spieler 14</v>
      </c>
      <c r="L15" s="1" t="s">
        <v>1</v>
      </c>
      <c r="M15" s="15" t="str">
        <f>Eingabe!$C$8</f>
        <v>Spieler 3</v>
      </c>
      <c r="N15" s="15"/>
      <c r="O15" s="1" t="s">
        <v>26</v>
      </c>
      <c r="P15" s="1" t="s">
        <v>1</v>
      </c>
      <c r="Q15" s="5" t="str">
        <f t="shared" si="4"/>
        <v> </v>
      </c>
      <c r="R15" s="3"/>
      <c r="S15" s="15" t="str">
        <f>Eingabe!$G$8</f>
        <v>Spieler 13</v>
      </c>
      <c r="T15" s="1" t="s">
        <v>1</v>
      </c>
      <c r="U15" s="15" t="str">
        <f>Eingabe!$C$7</f>
        <v>Spieler 2</v>
      </c>
      <c r="V15" s="15"/>
      <c r="W15" s="1" t="s">
        <v>26</v>
      </c>
      <c r="X15" s="1" t="s">
        <v>1</v>
      </c>
      <c r="Y15" s="5" t="str">
        <f t="shared" si="5"/>
        <v> </v>
      </c>
      <c r="Z15" s="3"/>
      <c r="AA15" s="15" t="str">
        <f>Eingabe!$G$7</f>
        <v>Spieler 12</v>
      </c>
      <c r="AB15" s="1" t="s">
        <v>1</v>
      </c>
      <c r="AC15" s="15" t="str">
        <f>Eingabe!$C$6</f>
        <v>Spieler 1</v>
      </c>
      <c r="AD15" s="15"/>
      <c r="AE15" s="1" t="s">
        <v>26</v>
      </c>
      <c r="AF15" s="1" t="s">
        <v>1</v>
      </c>
      <c r="AG15" s="5" t="str">
        <f t="shared" si="6"/>
        <v> </v>
      </c>
      <c r="AH15" s="3"/>
      <c r="AI15" s="15" t="str">
        <f>Eingabe!$G$6</f>
        <v>Spieler 11</v>
      </c>
      <c r="AJ15" s="1" t="s">
        <v>1</v>
      </c>
      <c r="AK15" s="15" t="str">
        <f>Eingabe!$G$12</f>
        <v>Spieler 17</v>
      </c>
      <c r="AL15" s="15"/>
      <c r="AM15" s="1" t="s">
        <v>26</v>
      </c>
      <c r="AN15" s="1" t="s">
        <v>1</v>
      </c>
      <c r="AO15" s="3" t="str">
        <f t="shared" si="7"/>
        <v> </v>
      </c>
      <c r="AP15" s="2"/>
      <c r="AQ15" s="1">
        <v>9</v>
      </c>
      <c r="AR15" s="1" t="str">
        <f>IF($BO$159=1,Eingabe!$C$14,"")</f>
        <v>Spieler 9</v>
      </c>
      <c r="AS15" s="1">
        <f>IF($BO$159=2,Eingabe!$C$13,"")</f>
      </c>
      <c r="AT15" s="1">
        <f>IF($BO$159=3,Eingabe!$C$12,"")</f>
      </c>
      <c r="AU15" s="1">
        <f>IF($BO$159=4,Eingabe!$C$11,"")</f>
      </c>
      <c r="AV15" s="1">
        <f>IF($BO$159=5,Eingabe!$C$10,"")</f>
      </c>
      <c r="AW15" s="1">
        <f>IF($BO$159=6,Eingabe!$C$9,"")</f>
      </c>
      <c r="AX15" s="1">
        <f>IF($BO$159=7,Eingabe!$C$8,"")</f>
      </c>
      <c r="AY15" s="1">
        <f>IF($BO$159=8,Eingabe!$C$7,"")</f>
      </c>
      <c r="AZ15" s="1">
        <f>IF($BO$159=9,Eingabe!$C$6,"")</f>
      </c>
      <c r="BA15" s="1">
        <f>IF($BO$159=10,Eingabe!$G$12,"")</f>
      </c>
      <c r="BB15" s="1">
        <f>IF($BO$159=11,Eingabe!$G$11,"")</f>
      </c>
      <c r="BC15" s="1">
        <f>IF($BO$159=12,Eingabe!$G$10,"")</f>
      </c>
      <c r="BD15" s="1">
        <f>IF($BO$159=13,Eingabe!$G$9,"")</f>
      </c>
      <c r="BE15" s="1">
        <f>IF($BO$159=14,Eingabe!$G$8,"")</f>
      </c>
      <c r="BF15" s="1">
        <f>IF($BO$159=15,Eingabe!$G$7,"")</f>
      </c>
      <c r="BG15" s="1">
        <f>IF($BO$159=16,Eingabe!$G$6,"")</f>
      </c>
      <c r="BH15" s="1">
        <f>IF($BO$159=17,Eingabe!$C$15,"")</f>
      </c>
      <c r="BI15" s="1" t="str">
        <f t="shared" si="2"/>
        <v>Spieler 9</v>
      </c>
      <c r="BK15" s="1">
        <f t="shared" si="0"/>
        <v>0</v>
      </c>
      <c r="BL15" s="1">
        <v>2</v>
      </c>
      <c r="BM15" s="1">
        <f t="shared" si="1"/>
        <v>0</v>
      </c>
      <c r="BN15" s="1">
        <v>2</v>
      </c>
      <c r="BO15" s="1">
        <v>10</v>
      </c>
    </row>
    <row r="16" spans="1:67" ht="12.75">
      <c r="A16" t="str">
        <f>IF(Eingabe!$G$13="spielfrei","Tisch 4 :","Tisch 5 :")</f>
        <v>Tisch 5 :</v>
      </c>
      <c r="C16" s="15" t="str">
        <f>Eingabe!$G$9</f>
        <v>Spieler 14</v>
      </c>
      <c r="D16" s="1" t="s">
        <v>1</v>
      </c>
      <c r="E16" s="15" t="str">
        <f>Eingabe!$C$10</f>
        <v>Spieler 5</v>
      </c>
      <c r="F16" s="15"/>
      <c r="G16" s="1" t="s">
        <v>26</v>
      </c>
      <c r="H16" s="1" t="s">
        <v>1</v>
      </c>
      <c r="I16" s="5" t="str">
        <f t="shared" si="3"/>
        <v> </v>
      </c>
      <c r="J16" s="3"/>
      <c r="K16" s="15" t="str">
        <f>Eingabe!$G$8</f>
        <v>Spieler 13</v>
      </c>
      <c r="L16" s="1" t="s">
        <v>1</v>
      </c>
      <c r="M16" s="15" t="str">
        <f>Eingabe!$C$9</f>
        <v>Spieler 4</v>
      </c>
      <c r="N16" s="15"/>
      <c r="O16" s="1" t="s">
        <v>26</v>
      </c>
      <c r="P16" s="1" t="s">
        <v>1</v>
      </c>
      <c r="Q16" s="5" t="str">
        <f t="shared" si="4"/>
        <v> </v>
      </c>
      <c r="R16" s="3"/>
      <c r="S16" s="15" t="str">
        <f>Eingabe!$G$7</f>
        <v>Spieler 12</v>
      </c>
      <c r="T16" s="1" t="s">
        <v>1</v>
      </c>
      <c r="U16" s="15" t="str">
        <f>Eingabe!$C$8</f>
        <v>Spieler 3</v>
      </c>
      <c r="V16" s="15"/>
      <c r="W16" s="1" t="s">
        <v>26</v>
      </c>
      <c r="X16" s="1" t="s">
        <v>1</v>
      </c>
      <c r="Y16" s="5" t="str">
        <f t="shared" si="5"/>
        <v> </v>
      </c>
      <c r="Z16" s="3"/>
      <c r="AA16" s="15" t="str">
        <f>Eingabe!$G$6</f>
        <v>Spieler 11</v>
      </c>
      <c r="AB16" s="1" t="s">
        <v>1</v>
      </c>
      <c r="AC16" s="15" t="str">
        <f>Eingabe!$C$7</f>
        <v>Spieler 2</v>
      </c>
      <c r="AD16" s="15"/>
      <c r="AE16" s="1" t="s">
        <v>26</v>
      </c>
      <c r="AF16" s="1" t="s">
        <v>1</v>
      </c>
      <c r="AG16" s="5" t="str">
        <f t="shared" si="6"/>
        <v> </v>
      </c>
      <c r="AH16" s="3"/>
      <c r="AI16" s="15" t="str">
        <f>Eingabe!$C$15</f>
        <v>Spieler 10</v>
      </c>
      <c r="AJ16" s="1" t="s">
        <v>1</v>
      </c>
      <c r="AK16" s="15" t="str">
        <f>Eingabe!$C$6</f>
        <v>Spieler 1</v>
      </c>
      <c r="AL16" s="15"/>
      <c r="AM16" s="1" t="s">
        <v>26</v>
      </c>
      <c r="AN16" s="1" t="s">
        <v>1</v>
      </c>
      <c r="AO16" s="3" t="str">
        <f t="shared" si="7"/>
        <v> </v>
      </c>
      <c r="AP16" s="2"/>
      <c r="AQ16" s="1">
        <v>10</v>
      </c>
      <c r="AR16" s="1" t="str">
        <f>IF($BO$159=1,Eingabe!$C$15,"")</f>
        <v>Spieler 10</v>
      </c>
      <c r="AS16" s="1">
        <f>IF($BO$159=2,Eingabe!$C$14,"")</f>
      </c>
      <c r="AT16" s="1">
        <f>IF($BO$159=3,Eingabe!$C$13,"")</f>
      </c>
      <c r="AU16" s="1">
        <f>IF($BO$159=4,Eingabe!$C$12,"")</f>
      </c>
      <c r="AV16" s="1">
        <f>IF($BO$159=5,Eingabe!$C$11,"")</f>
      </c>
      <c r="AW16" s="1">
        <f>IF($BO$159=6,Eingabe!$C$10,"")</f>
      </c>
      <c r="AX16" s="1">
        <f>IF($BO$159=7,Eingabe!$C$9,"")</f>
      </c>
      <c r="AY16" s="1">
        <f>IF($BO$159=8,Eingabe!$C$8,"")</f>
      </c>
      <c r="AZ16" s="1">
        <f>IF($BO$159=9,Eingabe!$C$7,"")</f>
      </c>
      <c r="BA16" s="1">
        <f>IF($BO$159=10,Eingabe!$C$6,"")</f>
      </c>
      <c r="BB16" s="1">
        <f>IF($BO$159=11,Eingabe!$G$12,"")</f>
      </c>
      <c r="BC16" s="1">
        <f>IF($BO$159=12,Eingabe!$G$11,"")</f>
      </c>
      <c r="BD16" s="1">
        <f>IF($BO$159=13,Eingabe!$G$10,"")</f>
      </c>
      <c r="BE16" s="1">
        <f>IF($BO$159=14,Eingabe!$G$9,"")</f>
      </c>
      <c r="BF16" s="1">
        <f>IF($BO$159=15,Eingabe!$G$8,"")</f>
      </c>
      <c r="BG16" s="1">
        <f>IF($BO$159=16,Eingabe!$G$7,"")</f>
      </c>
      <c r="BH16" s="1">
        <f>IF($BO$159=17,Eingabe!$G$6,"")</f>
      </c>
      <c r="BI16" s="1" t="str">
        <f t="shared" si="2"/>
        <v>Spieler 10</v>
      </c>
      <c r="BK16" s="1">
        <f t="shared" si="0"/>
        <v>0</v>
      </c>
      <c r="BL16" s="1">
        <v>2</v>
      </c>
      <c r="BM16" s="1">
        <f t="shared" si="1"/>
        <v>0</v>
      </c>
      <c r="BN16" s="1">
        <v>2</v>
      </c>
      <c r="BO16" s="1">
        <v>11</v>
      </c>
    </row>
    <row r="17" spans="1:67" ht="12.75">
      <c r="A17" t="str">
        <f>IF(Eingabe!$G$13="spielfrei","Tisch 5 :","Tisch 6 :")</f>
        <v>Tisch 6 :</v>
      </c>
      <c r="C17" s="15" t="str">
        <f>Eingabe!$G$8</f>
        <v>Spieler 13</v>
      </c>
      <c r="D17" s="1" t="s">
        <v>1</v>
      </c>
      <c r="E17" s="15" t="str">
        <f>Eingabe!$C$11</f>
        <v>Spieler 6</v>
      </c>
      <c r="F17" s="15"/>
      <c r="G17" s="1" t="s">
        <v>26</v>
      </c>
      <c r="H17" s="1" t="s">
        <v>1</v>
      </c>
      <c r="I17" s="5" t="str">
        <f t="shared" si="3"/>
        <v> </v>
      </c>
      <c r="J17" s="3"/>
      <c r="K17" s="15" t="str">
        <f>Eingabe!$G$7</f>
        <v>Spieler 12</v>
      </c>
      <c r="L17" s="1" t="s">
        <v>1</v>
      </c>
      <c r="M17" s="15" t="str">
        <f>Eingabe!$C$10</f>
        <v>Spieler 5</v>
      </c>
      <c r="N17" s="15"/>
      <c r="O17" s="1" t="s">
        <v>26</v>
      </c>
      <c r="P17" s="1" t="s">
        <v>1</v>
      </c>
      <c r="Q17" s="5" t="str">
        <f t="shared" si="4"/>
        <v> </v>
      </c>
      <c r="R17" s="3"/>
      <c r="S17" s="15" t="str">
        <f>Eingabe!$G$6</f>
        <v>Spieler 11</v>
      </c>
      <c r="T17" s="1" t="s">
        <v>1</v>
      </c>
      <c r="U17" s="15" t="str">
        <f>Eingabe!$C$9</f>
        <v>Spieler 4</v>
      </c>
      <c r="V17" s="15"/>
      <c r="W17" s="1" t="s">
        <v>26</v>
      </c>
      <c r="X17" s="1" t="s">
        <v>1</v>
      </c>
      <c r="Y17" s="5" t="str">
        <f t="shared" si="5"/>
        <v> </v>
      </c>
      <c r="Z17" s="3"/>
      <c r="AA17" s="15" t="str">
        <f>Eingabe!$C$15</f>
        <v>Spieler 10</v>
      </c>
      <c r="AB17" s="1" t="s">
        <v>1</v>
      </c>
      <c r="AC17" s="15" t="str">
        <f>Eingabe!$C$8</f>
        <v>Spieler 3</v>
      </c>
      <c r="AD17" s="15"/>
      <c r="AE17" s="1" t="s">
        <v>26</v>
      </c>
      <c r="AF17" s="1" t="s">
        <v>1</v>
      </c>
      <c r="AG17" s="5" t="str">
        <f t="shared" si="6"/>
        <v> </v>
      </c>
      <c r="AH17" s="3"/>
      <c r="AI17" s="15" t="str">
        <f>Eingabe!$C$14</f>
        <v>Spieler 9</v>
      </c>
      <c r="AJ17" s="1" t="s">
        <v>1</v>
      </c>
      <c r="AK17" s="15" t="str">
        <f>Eingabe!$C$7</f>
        <v>Spieler 2</v>
      </c>
      <c r="AL17" s="15"/>
      <c r="AM17" s="1" t="s">
        <v>26</v>
      </c>
      <c r="AN17" s="1" t="s">
        <v>1</v>
      </c>
      <c r="AO17" s="3" t="str">
        <f t="shared" si="7"/>
        <v> </v>
      </c>
      <c r="AP17" s="2"/>
      <c r="AQ17" s="1">
        <v>11</v>
      </c>
      <c r="AR17" s="1" t="str">
        <f>IF($BO$159=1,Eingabe!$G$6,"")</f>
        <v>Spieler 11</v>
      </c>
      <c r="AS17" s="1">
        <f>IF($BO$159=2,Eingabe!$C$15,"")</f>
      </c>
      <c r="AT17" s="1">
        <f>IF($BO$159=3,Eingabe!$C$14,"")</f>
      </c>
      <c r="AU17" s="1">
        <f>IF($BO$159=4,Eingabe!$C$13,"")</f>
      </c>
      <c r="AV17" s="1">
        <f>IF($BO$159=5,Eingabe!$C$12,"")</f>
      </c>
      <c r="AW17" s="1">
        <f>IF($BO$159=6,Eingabe!$C$11,"")</f>
      </c>
      <c r="AX17" s="1">
        <f>IF($BO$159=7,Eingabe!$C$10,"")</f>
      </c>
      <c r="AY17" s="1">
        <f>IF($BO$159=8,Eingabe!$C$9,"")</f>
      </c>
      <c r="AZ17" s="1">
        <f>IF($BO$159=9,Eingabe!$C$8,"")</f>
      </c>
      <c r="BA17" s="1">
        <f>IF($BO$159=10,Eingabe!$C$7,"")</f>
      </c>
      <c r="BB17" s="1">
        <f>IF($BO$159=11,Eingabe!$C$6,"")</f>
      </c>
      <c r="BC17" s="1">
        <f>IF($BO$159=12,Eingabe!$G$12,"")</f>
      </c>
      <c r="BD17" s="1">
        <f>IF($BO$159=13,Eingabe!$G$11,"")</f>
      </c>
      <c r="BE17" s="1">
        <f>IF($BO$159=14,Eingabe!$G$10,"")</f>
      </c>
      <c r="BF17" s="1">
        <f>IF($BO$159=15,Eingabe!$G$9,"")</f>
      </c>
      <c r="BG17" s="1">
        <f>IF($BO$159=16,Eingabe!$G$8,"")</f>
      </c>
      <c r="BH17" s="1">
        <f>IF($BO$159=17,Eingabe!$G$7,"")</f>
      </c>
      <c r="BI17" s="1" t="str">
        <f t="shared" si="2"/>
        <v>Spieler 11</v>
      </c>
      <c r="BK17" s="1">
        <f t="shared" si="0"/>
        <v>0</v>
      </c>
      <c r="BL17" s="1">
        <v>2</v>
      </c>
      <c r="BM17" s="1">
        <f t="shared" si="1"/>
        <v>0</v>
      </c>
      <c r="BN17" s="1">
        <v>2</v>
      </c>
      <c r="BO17" s="1">
        <v>12</v>
      </c>
    </row>
    <row r="18" spans="1:67" ht="12.75">
      <c r="A18" t="str">
        <f>IF(Eingabe!$G$13="spielfrei","Tisch 6 :","Tisch 7 :")</f>
        <v>Tisch 7 :</v>
      </c>
      <c r="C18" s="15" t="str">
        <f>Eingabe!$G$7</f>
        <v>Spieler 12</v>
      </c>
      <c r="D18" s="1" t="s">
        <v>1</v>
      </c>
      <c r="E18" s="15" t="str">
        <f>Eingabe!$C$12</f>
        <v>Spieler 7</v>
      </c>
      <c r="F18" s="15"/>
      <c r="G18" s="1" t="s">
        <v>26</v>
      </c>
      <c r="H18" s="1" t="s">
        <v>1</v>
      </c>
      <c r="I18" s="5" t="str">
        <f t="shared" si="3"/>
        <v> </v>
      </c>
      <c r="J18" s="3"/>
      <c r="K18" s="15" t="str">
        <f>Eingabe!$G$6</f>
        <v>Spieler 11</v>
      </c>
      <c r="L18" s="1" t="s">
        <v>1</v>
      </c>
      <c r="M18" s="15" t="str">
        <f>Eingabe!$C$11</f>
        <v>Spieler 6</v>
      </c>
      <c r="N18" s="15"/>
      <c r="O18" s="1" t="s">
        <v>26</v>
      </c>
      <c r="P18" s="1" t="s">
        <v>1</v>
      </c>
      <c r="Q18" s="5" t="str">
        <f t="shared" si="4"/>
        <v> </v>
      </c>
      <c r="R18" s="3"/>
      <c r="S18" s="15" t="str">
        <f>Eingabe!$C$15</f>
        <v>Spieler 10</v>
      </c>
      <c r="T18" s="1" t="s">
        <v>1</v>
      </c>
      <c r="U18" s="15" t="str">
        <f>Eingabe!$C$10</f>
        <v>Spieler 5</v>
      </c>
      <c r="V18" s="15"/>
      <c r="W18" s="1" t="s">
        <v>26</v>
      </c>
      <c r="X18" s="1" t="s">
        <v>1</v>
      </c>
      <c r="Y18" s="5" t="str">
        <f t="shared" si="5"/>
        <v> </v>
      </c>
      <c r="Z18" s="3"/>
      <c r="AA18" s="15" t="str">
        <f>Eingabe!$C$14</f>
        <v>Spieler 9</v>
      </c>
      <c r="AB18" s="1" t="s">
        <v>1</v>
      </c>
      <c r="AC18" s="15" t="str">
        <f>Eingabe!$C$9</f>
        <v>Spieler 4</v>
      </c>
      <c r="AD18" s="15"/>
      <c r="AE18" s="1" t="s">
        <v>26</v>
      </c>
      <c r="AF18" s="1" t="s">
        <v>1</v>
      </c>
      <c r="AG18" s="5" t="str">
        <f t="shared" si="6"/>
        <v> </v>
      </c>
      <c r="AH18" s="3"/>
      <c r="AI18" s="15" t="str">
        <f>Eingabe!$C$13</f>
        <v>Spieler 8</v>
      </c>
      <c r="AJ18" s="1" t="s">
        <v>1</v>
      </c>
      <c r="AK18" s="15" t="str">
        <f>Eingabe!$C$8</f>
        <v>Spieler 3</v>
      </c>
      <c r="AL18" s="15"/>
      <c r="AM18" s="1" t="s">
        <v>26</v>
      </c>
      <c r="AN18" s="1" t="s">
        <v>1</v>
      </c>
      <c r="AO18" s="3" t="str">
        <f t="shared" si="7"/>
        <v> </v>
      </c>
      <c r="AP18" s="2"/>
      <c r="AQ18" s="1">
        <v>12</v>
      </c>
      <c r="AR18" s="1" t="str">
        <f>IF($BO$159=1,Eingabe!$G$7,"")</f>
        <v>Spieler 12</v>
      </c>
      <c r="AS18" s="1">
        <f>IF($BO$159=2,Eingabe!$G$6,"")</f>
      </c>
      <c r="AT18" s="1">
        <f>IF($BO$159=3,Eingabe!$C$15,"")</f>
      </c>
      <c r="AU18" s="1">
        <f>IF($BO$159=4,Eingabe!$C$14,"")</f>
      </c>
      <c r="AV18" s="1">
        <f>IF($BO$159=5,Eingabe!$C$13,"")</f>
      </c>
      <c r="AW18" s="1">
        <f>IF($BO$159=6,Eingabe!$C$12,"")</f>
      </c>
      <c r="AX18" s="1">
        <f>IF($BO$159=7,Eingabe!$C$11,"")</f>
      </c>
      <c r="AY18" s="1">
        <f>IF($BO$159=8,Eingabe!$C$10,"")</f>
      </c>
      <c r="AZ18" s="1">
        <f>IF($BO$159=9,Eingabe!$C$9,"")</f>
      </c>
      <c r="BA18" s="1">
        <f>IF($BO$159=10,Eingabe!$C$8,"")</f>
      </c>
      <c r="BB18" s="1">
        <f>IF($BO$159=11,Eingabe!$C$7,"")</f>
      </c>
      <c r="BC18" s="1">
        <f>IF($BO$159=12,Eingabe!$C$6,"")</f>
      </c>
      <c r="BD18" s="1">
        <f>IF($BO$159=13,Eingabe!$G$12,"")</f>
      </c>
      <c r="BE18" s="1">
        <f>IF($BO$159=14,Eingabe!$G$11,"")</f>
      </c>
      <c r="BF18" s="1">
        <f>IF($BO$159=15,Eingabe!$G$10,"")</f>
      </c>
      <c r="BG18" s="1">
        <f>IF($BO$159=16,Eingabe!$G$9,"")</f>
      </c>
      <c r="BH18" s="1">
        <f>IF($BO$159=17,Eingabe!$G$8,"")</f>
      </c>
      <c r="BI18" s="1" t="str">
        <f t="shared" si="2"/>
        <v>Spieler 12</v>
      </c>
      <c r="BK18" s="1">
        <f t="shared" si="0"/>
        <v>0</v>
      </c>
      <c r="BL18" s="1">
        <v>2</v>
      </c>
      <c r="BM18" s="1">
        <f t="shared" si="1"/>
        <v>0</v>
      </c>
      <c r="BN18" s="1">
        <v>2</v>
      </c>
      <c r="BO18" s="1">
        <v>13</v>
      </c>
    </row>
    <row r="19" spans="1:67" ht="12.75">
      <c r="A19" t="str">
        <f>IF(Eingabe!$G$13="spielfrei","Tisch 7 :","Tisch 8 :")</f>
        <v>Tisch 8 :</v>
      </c>
      <c r="C19" s="15" t="str">
        <f>Eingabe!$G$6</f>
        <v>Spieler 11</v>
      </c>
      <c r="D19" s="1" t="s">
        <v>1</v>
      </c>
      <c r="E19" s="15" t="str">
        <f>Eingabe!$C$13</f>
        <v>Spieler 8</v>
      </c>
      <c r="F19" s="15"/>
      <c r="G19" s="1" t="s">
        <v>26</v>
      </c>
      <c r="H19" s="1" t="s">
        <v>1</v>
      </c>
      <c r="I19" s="5" t="str">
        <f t="shared" si="3"/>
        <v> </v>
      </c>
      <c r="J19" s="3"/>
      <c r="K19" s="15" t="str">
        <f>Eingabe!$C$15</f>
        <v>Spieler 10</v>
      </c>
      <c r="L19" s="1" t="s">
        <v>1</v>
      </c>
      <c r="M19" s="15" t="str">
        <f>Eingabe!$C$12</f>
        <v>Spieler 7</v>
      </c>
      <c r="N19" s="15"/>
      <c r="O19" s="1" t="s">
        <v>26</v>
      </c>
      <c r="P19" s="1" t="s">
        <v>1</v>
      </c>
      <c r="Q19" s="5" t="str">
        <f t="shared" si="4"/>
        <v> </v>
      </c>
      <c r="R19" s="3"/>
      <c r="S19" s="15" t="str">
        <f>Eingabe!$C$14</f>
        <v>Spieler 9</v>
      </c>
      <c r="T19" s="1" t="s">
        <v>1</v>
      </c>
      <c r="U19" s="15" t="str">
        <f>Eingabe!$C$11</f>
        <v>Spieler 6</v>
      </c>
      <c r="V19" s="15"/>
      <c r="W19" s="1" t="s">
        <v>26</v>
      </c>
      <c r="X19" s="1" t="s">
        <v>1</v>
      </c>
      <c r="Y19" s="5" t="str">
        <f t="shared" si="5"/>
        <v> </v>
      </c>
      <c r="Z19" s="3"/>
      <c r="AA19" s="15" t="str">
        <f>Eingabe!$C$13</f>
        <v>Spieler 8</v>
      </c>
      <c r="AB19" s="1" t="s">
        <v>1</v>
      </c>
      <c r="AC19" s="15" t="str">
        <f>Eingabe!$C$10</f>
        <v>Spieler 5</v>
      </c>
      <c r="AD19" s="15"/>
      <c r="AE19" s="1" t="s">
        <v>26</v>
      </c>
      <c r="AF19" s="1" t="s">
        <v>1</v>
      </c>
      <c r="AG19" s="5" t="str">
        <f t="shared" si="6"/>
        <v> </v>
      </c>
      <c r="AH19" s="3"/>
      <c r="AI19" s="15" t="str">
        <f>Eingabe!$C$12</f>
        <v>Spieler 7</v>
      </c>
      <c r="AJ19" s="1" t="s">
        <v>1</v>
      </c>
      <c r="AK19" s="15" t="str">
        <f>Eingabe!$C$9</f>
        <v>Spieler 4</v>
      </c>
      <c r="AL19" s="15"/>
      <c r="AM19" s="1" t="s">
        <v>26</v>
      </c>
      <c r="AN19" s="1" t="s">
        <v>1</v>
      </c>
      <c r="AO19" s="3" t="str">
        <f t="shared" si="7"/>
        <v> </v>
      </c>
      <c r="AP19" s="2"/>
      <c r="AQ19" s="1">
        <v>13</v>
      </c>
      <c r="AR19" s="1" t="str">
        <f>IF($BO$159=1,Eingabe!$G$8,"")</f>
        <v>Spieler 13</v>
      </c>
      <c r="AS19" s="1">
        <f>IF($BO$159=2,Eingabe!$G$7,"")</f>
      </c>
      <c r="AT19" s="1">
        <f>IF($BO$159=3,Eingabe!$G$6,"")</f>
      </c>
      <c r="AU19" s="1">
        <f>IF($BO$159=4,Eingabe!$C$15,"")</f>
      </c>
      <c r="AV19" s="1">
        <f>IF($BO$159=5,Eingabe!$C$14,"")</f>
      </c>
      <c r="AW19" s="1">
        <f>IF($BO$159=6,Eingabe!$C$13,"")</f>
      </c>
      <c r="AX19" s="1">
        <f>IF($BO$159=7,Eingabe!$C$12,"")</f>
      </c>
      <c r="AY19" s="1">
        <f>IF($BO$159=8,Eingabe!$C$11,"")</f>
      </c>
      <c r="AZ19" s="1">
        <f>IF($BO$159=9,Eingabe!$C$10,"")</f>
      </c>
      <c r="BA19" s="1">
        <f>IF($BO$159=10,Eingabe!$C$9,"")</f>
      </c>
      <c r="BB19" s="1">
        <f>IF($BO$159=11,Eingabe!$C$8,"")</f>
      </c>
      <c r="BC19" s="1">
        <f>IF($BO$159=12,Eingabe!$C$7,"")</f>
      </c>
      <c r="BD19" s="1">
        <f>IF($BO$159=13,Eingabe!$C$6,"")</f>
      </c>
      <c r="BE19" s="1">
        <f>IF($BO$159=14,Eingabe!$G$12,"")</f>
      </c>
      <c r="BF19" s="1">
        <f>IF($BO$159=15,Eingabe!$G$11,"")</f>
      </c>
      <c r="BG19" s="1">
        <f>IF($BO$159=16,Eingabe!$G$10,"")</f>
      </c>
      <c r="BH19" s="1">
        <f>IF($BO$159=17,Eingabe!$G$9,"")</f>
      </c>
      <c r="BI19" s="1" t="str">
        <f t="shared" si="2"/>
        <v>Spieler 13</v>
      </c>
      <c r="BK19" s="1">
        <f t="shared" si="0"/>
        <v>0</v>
      </c>
      <c r="BL19" s="1">
        <v>2</v>
      </c>
      <c r="BM19" s="1">
        <f t="shared" si="1"/>
        <v>0</v>
      </c>
      <c r="BN19" s="1">
        <v>2</v>
      </c>
      <c r="BO19" s="1">
        <v>14</v>
      </c>
    </row>
    <row r="20" spans="1:67" ht="12.75">
      <c r="A20" t="str">
        <f>IF(Eingabe!$G$13="spielfrei","Tisch 8 :","Tisch 9 :")</f>
        <v>Tisch 9 :</v>
      </c>
      <c r="C20" s="15" t="str">
        <f>Eingabe!$C$15</f>
        <v>Spieler 10</v>
      </c>
      <c r="D20" s="1" t="s">
        <v>1</v>
      </c>
      <c r="E20" s="15" t="str">
        <f>Eingabe!$C$14</f>
        <v>Spieler 9</v>
      </c>
      <c r="F20" s="15"/>
      <c r="G20" s="1" t="s">
        <v>26</v>
      </c>
      <c r="H20" s="1" t="s">
        <v>1</v>
      </c>
      <c r="I20" s="5" t="str">
        <f t="shared" si="3"/>
        <v> </v>
      </c>
      <c r="J20" s="3"/>
      <c r="K20" s="15" t="str">
        <f>Eingabe!$C$14</f>
        <v>Spieler 9</v>
      </c>
      <c r="L20" s="1" t="s">
        <v>1</v>
      </c>
      <c r="M20" s="15" t="str">
        <f>Eingabe!$C$13</f>
        <v>Spieler 8</v>
      </c>
      <c r="N20" s="15"/>
      <c r="O20" s="1" t="s">
        <v>26</v>
      </c>
      <c r="P20" s="1" t="s">
        <v>1</v>
      </c>
      <c r="Q20" s="5" t="str">
        <f t="shared" si="4"/>
        <v> </v>
      </c>
      <c r="R20" s="3"/>
      <c r="S20" s="15" t="str">
        <f>Eingabe!$C$13</f>
        <v>Spieler 8</v>
      </c>
      <c r="T20" s="1" t="s">
        <v>1</v>
      </c>
      <c r="U20" s="15" t="str">
        <f>Eingabe!$C$12</f>
        <v>Spieler 7</v>
      </c>
      <c r="V20" s="15"/>
      <c r="W20" s="1" t="s">
        <v>26</v>
      </c>
      <c r="X20" s="1" t="s">
        <v>1</v>
      </c>
      <c r="Y20" s="5" t="str">
        <f t="shared" si="5"/>
        <v> </v>
      </c>
      <c r="Z20" s="3"/>
      <c r="AA20" s="15" t="str">
        <f>Eingabe!$C$12</f>
        <v>Spieler 7</v>
      </c>
      <c r="AB20" s="1" t="s">
        <v>1</v>
      </c>
      <c r="AC20" s="15" t="str">
        <f>Eingabe!$C$11</f>
        <v>Spieler 6</v>
      </c>
      <c r="AD20" s="15"/>
      <c r="AE20" s="1" t="s">
        <v>26</v>
      </c>
      <c r="AF20" s="1" t="s">
        <v>1</v>
      </c>
      <c r="AG20" s="5" t="str">
        <f t="shared" si="6"/>
        <v> </v>
      </c>
      <c r="AH20" s="3"/>
      <c r="AI20" s="15" t="str">
        <f>Eingabe!$C$11</f>
        <v>Spieler 6</v>
      </c>
      <c r="AJ20" s="1" t="s">
        <v>1</v>
      </c>
      <c r="AK20" s="15" t="str">
        <f>Eingabe!$C$10</f>
        <v>Spieler 5</v>
      </c>
      <c r="AL20" s="15"/>
      <c r="AM20" s="1" t="s">
        <v>26</v>
      </c>
      <c r="AN20" s="1" t="s">
        <v>1</v>
      </c>
      <c r="AO20" s="3" t="str">
        <f t="shared" si="7"/>
        <v> </v>
      </c>
      <c r="AP20" s="2"/>
      <c r="AQ20" s="1">
        <v>14</v>
      </c>
      <c r="AR20" s="1" t="str">
        <f>IF($BO$159=1,Eingabe!$G$9,"")</f>
        <v>Spieler 14</v>
      </c>
      <c r="AS20" s="1">
        <f>IF($BO$159=2,Eingabe!$G$8,"")</f>
      </c>
      <c r="AT20" s="1">
        <f>IF($BO$159=3,Eingabe!$G$7,"")</f>
      </c>
      <c r="AU20" s="1">
        <f>IF($BO$159=4,Eingabe!$G$6,"")</f>
      </c>
      <c r="AV20" s="1">
        <f>IF($BO$159=5,Eingabe!$C$15,"")</f>
      </c>
      <c r="AW20" s="1">
        <f>IF($BO$159=6,Eingabe!$C$14,"")</f>
      </c>
      <c r="AX20" s="1">
        <f>IF($BO$159=7,Eingabe!$C$13,"")</f>
      </c>
      <c r="AY20" s="1">
        <f>IF($BO$159=8,Eingabe!$C$12,"")</f>
      </c>
      <c r="AZ20" s="1">
        <f>IF($BO$159=9,Eingabe!$C$11,"")</f>
      </c>
      <c r="BA20" s="1">
        <f>IF($BO$159=10,Eingabe!$C$10,"")</f>
      </c>
      <c r="BB20" s="1">
        <f>IF($BO$159=11,Eingabe!$C$9,"")</f>
      </c>
      <c r="BC20" s="1">
        <f>IF($BO$159=12,Eingabe!$C$8,"")</f>
      </c>
      <c r="BD20" s="1">
        <f>IF($BO$159=13,Eingabe!$C$7,"")</f>
      </c>
      <c r="BE20" s="1">
        <f>IF($BO$159=14,Eingabe!$C$6,"")</f>
      </c>
      <c r="BF20" s="1">
        <f>IF($BO$159=15,Eingabe!$G$12,"")</f>
      </c>
      <c r="BG20" s="1">
        <f>IF($BO$159=16,Eingabe!$G$11,"")</f>
      </c>
      <c r="BH20" s="1">
        <f>IF($BO$159=17,Eingabe!$G$10,"")</f>
      </c>
      <c r="BI20" s="1" t="str">
        <f t="shared" si="2"/>
        <v>Spieler 14</v>
      </c>
      <c r="BK20" s="1">
        <f t="shared" si="0"/>
        <v>0</v>
      </c>
      <c r="BL20" s="1">
        <v>2</v>
      </c>
      <c r="BM20" s="1">
        <f t="shared" si="1"/>
        <v>0</v>
      </c>
      <c r="BN20" s="1">
        <v>2</v>
      </c>
      <c r="BO20" s="1">
        <v>15</v>
      </c>
    </row>
    <row r="21" spans="3:67" ht="12.75">
      <c r="C21" s="14"/>
      <c r="D21" s="1"/>
      <c r="E21" s="15"/>
      <c r="F21" s="15"/>
      <c r="G21" s="15"/>
      <c r="H21" s="1"/>
      <c r="I21" s="2"/>
      <c r="J21" s="2"/>
      <c r="K21" s="14"/>
      <c r="L21" s="1"/>
      <c r="M21" s="15"/>
      <c r="N21" s="15"/>
      <c r="O21" s="15"/>
      <c r="P21" s="1"/>
      <c r="Q21" s="2"/>
      <c r="R21" s="2"/>
      <c r="S21" s="14"/>
      <c r="T21" s="1"/>
      <c r="U21" s="15"/>
      <c r="V21" s="15"/>
      <c r="W21" s="15"/>
      <c r="X21" s="1"/>
      <c r="Y21" s="2"/>
      <c r="Z21" s="2"/>
      <c r="AA21" s="14"/>
      <c r="AB21" s="1"/>
      <c r="AC21" s="15"/>
      <c r="AD21" s="15"/>
      <c r="AE21" s="15"/>
      <c r="AF21" s="1"/>
      <c r="AG21" s="2"/>
      <c r="AH21" s="2"/>
      <c r="AI21" s="14"/>
      <c r="AJ21" s="1"/>
      <c r="AK21" s="15"/>
      <c r="AL21" s="15"/>
      <c r="AM21" s="15"/>
      <c r="AN21" s="1"/>
      <c r="AO21" s="2"/>
      <c r="AP21" s="2"/>
      <c r="AQ21" s="1">
        <v>15</v>
      </c>
      <c r="AR21" s="1" t="str">
        <f>IF($BO$159=1,Eingabe!$G$10,"")</f>
        <v>Spieler 15</v>
      </c>
      <c r="AS21" s="1">
        <f>IF($BO$159=2,Eingabe!$G$9,"")</f>
      </c>
      <c r="AT21" s="1">
        <f>IF($BO$159=3,Eingabe!$G$8,"")</f>
      </c>
      <c r="AU21" s="1">
        <f>IF($BO$159=4,Eingabe!$G$7,"")</f>
      </c>
      <c r="AV21" s="1">
        <f>IF($BO$159=5,Eingabe!$G$6,"")</f>
      </c>
      <c r="AW21" s="1">
        <f>IF($BO$159=6,Eingabe!$C$15,"")</f>
      </c>
      <c r="AX21" s="1">
        <f>IF($BO$159=7,Eingabe!$C$14,"")</f>
      </c>
      <c r="AY21" s="1">
        <f>IF($BO$159=8,Eingabe!$C$13,"")</f>
      </c>
      <c r="AZ21" s="1">
        <f>IF($BO$159=9,Eingabe!$C$12,"")</f>
      </c>
      <c r="BA21" s="1">
        <f>IF($BO$159=10,Eingabe!$C$11,"")</f>
      </c>
      <c r="BB21" s="1">
        <f>IF($BO$159=11,Eingabe!$C$10,"")</f>
      </c>
      <c r="BC21" s="1">
        <f>IF($BO$159=12,Eingabe!$C$9,"")</f>
      </c>
      <c r="BD21" s="1">
        <f>IF($BO$159=13,Eingabe!$C$8,"")</f>
      </c>
      <c r="BE21" s="1">
        <f>IF($BO$159=14,Eingabe!$C$7,"")</f>
      </c>
      <c r="BF21" s="1">
        <f>IF($BO$159=15,Eingabe!$C$6,"")</f>
      </c>
      <c r="BG21" s="1">
        <f>IF($BO$159=16,Eingabe!$G$12,"")</f>
      </c>
      <c r="BH21" s="1">
        <f>IF($BO$159=17,Eingabe!$G$11,"")</f>
      </c>
      <c r="BI21" s="1" t="str">
        <f t="shared" si="2"/>
        <v>Spieler 15</v>
      </c>
      <c r="BK21" s="1">
        <f t="shared" si="0"/>
        <v>0</v>
      </c>
      <c r="BL21" s="1">
        <v>3</v>
      </c>
      <c r="BM21" s="1">
        <f t="shared" si="1"/>
        <v>0</v>
      </c>
      <c r="BN21" s="1">
        <v>2</v>
      </c>
      <c r="BO21" s="1">
        <v>16</v>
      </c>
    </row>
    <row r="22" spans="5:67" ht="12.75">
      <c r="E22" s="15"/>
      <c r="F22" s="15"/>
      <c r="M22" s="15"/>
      <c r="N22" s="15"/>
      <c r="U22" s="15"/>
      <c r="V22" s="15"/>
      <c r="AC22" s="15"/>
      <c r="AD22" s="15"/>
      <c r="AK22" s="15"/>
      <c r="AL22" s="15"/>
      <c r="AO22" s="2"/>
      <c r="AP22" s="2"/>
      <c r="AQ22" s="1">
        <v>16</v>
      </c>
      <c r="AR22" s="1" t="str">
        <f>IF($BO$159=1,Eingabe!$G$11,"")</f>
        <v>Spieler 16</v>
      </c>
      <c r="AS22" s="1">
        <f>IF($BO$159=2,Eingabe!$G$10,"")</f>
      </c>
      <c r="AT22" s="1">
        <f>IF($BO$159=3,Eingabe!$G$9,"")</f>
      </c>
      <c r="AU22" s="1">
        <f>IF($BO$159=4,Eingabe!$G$8,"")</f>
      </c>
      <c r="AV22" s="1">
        <f>IF($BO$159=5,Eingabe!$G$7,"")</f>
      </c>
      <c r="AW22" s="1">
        <f>IF($BO$159=6,Eingabe!$G$6,"")</f>
      </c>
      <c r="AX22" s="1">
        <f>IF($BO$159=7,Eingabe!$C$15,"")</f>
      </c>
      <c r="AY22" s="1">
        <f>IF($BO$159=8,Eingabe!$C$14,"")</f>
      </c>
      <c r="AZ22" s="1">
        <f>IF($BO$159=9,Eingabe!$C$13,"")</f>
      </c>
      <c r="BA22" s="1">
        <f>IF($BO$159=10,Eingabe!$C$12,"")</f>
      </c>
      <c r="BB22" s="1">
        <f>IF($BO$159=11,Eingabe!$C$11,"")</f>
      </c>
      <c r="BC22" s="1">
        <f>IF($BO$159=12,Eingabe!$C$10,"")</f>
      </c>
      <c r="BD22" s="1">
        <f>IF($BO$159=13,Eingabe!$C$9,"")</f>
      </c>
      <c r="BE22" s="1">
        <f>IF($BO$159=14,Eingabe!$C$8,"")</f>
      </c>
      <c r="BF22" s="1">
        <f>IF($BO$159=15,Eingabe!$C$7,"")</f>
      </c>
      <c r="BG22" s="1">
        <f>IF($BO$159=16,Eingabe!$C$6,"")</f>
      </c>
      <c r="BH22" s="1">
        <f>IF($BO$159=17,Eingabe!$G$12,"")</f>
      </c>
      <c r="BI22" s="1" t="str">
        <f t="shared" si="2"/>
        <v>Spieler 16</v>
      </c>
      <c r="BK22" s="1">
        <f t="shared" si="0"/>
        <v>0</v>
      </c>
      <c r="BL22" s="1">
        <v>3</v>
      </c>
      <c r="BM22" s="1">
        <f t="shared" si="1"/>
        <v>0</v>
      </c>
      <c r="BN22" s="1">
        <v>2</v>
      </c>
      <c r="BO22" s="1">
        <v>17</v>
      </c>
    </row>
    <row r="23" spans="4:67" ht="12.75">
      <c r="D23" s="11" t="s">
        <v>27</v>
      </c>
      <c r="E23" s="15"/>
      <c r="F23" s="15"/>
      <c r="L23" s="11" t="s">
        <v>28</v>
      </c>
      <c r="M23" s="15"/>
      <c r="N23" s="15"/>
      <c r="T23" s="11" t="s">
        <v>29</v>
      </c>
      <c r="U23" s="15"/>
      <c r="V23" s="15"/>
      <c r="AB23" s="11" t="s">
        <v>30</v>
      </c>
      <c r="AC23" s="15"/>
      <c r="AD23" s="15"/>
      <c r="AJ23" s="11" t="s">
        <v>31</v>
      </c>
      <c r="AK23" s="15"/>
      <c r="AL23" s="15"/>
      <c r="AO23" s="2"/>
      <c r="AP23" s="2"/>
      <c r="AQ23" s="1">
        <v>17</v>
      </c>
      <c r="AR23" s="1" t="str">
        <f>IF($BO$159=1,Eingabe!$G$12,"")</f>
        <v>Spieler 17</v>
      </c>
      <c r="AS23" s="1">
        <f>IF($BO$159=2,Eingabe!$G$11,"")</f>
      </c>
      <c r="AT23" s="1">
        <f>IF($BO$159=3,Eingabe!$G$10,"")</f>
      </c>
      <c r="AU23" s="1">
        <f>IF($BO$159=4,Eingabe!$G$9,"")</f>
      </c>
      <c r="AV23" s="1">
        <f>IF($BO$159=5,Eingabe!$G$8,"")</f>
      </c>
      <c r="AW23" s="1">
        <f>IF($BO$159=6,Eingabe!$G$7,"")</f>
      </c>
      <c r="AX23" s="1">
        <f>IF($BO$159=7,Eingabe!$G$6,"")</f>
      </c>
      <c r="AY23" s="1">
        <f>IF($BO$159=8,Eingabe!$C$15,"")</f>
      </c>
      <c r="AZ23" s="1">
        <f>IF($BO$159=9,Eingabe!$C$14,"")</f>
      </c>
      <c r="BA23" s="1">
        <f>IF($BO$159=10,Eingabe!$C$13,"")</f>
      </c>
      <c r="BB23" s="1">
        <f>IF($BO$159=11,Eingabe!$C$12,"")</f>
      </c>
      <c r="BC23" s="1">
        <f>IF($BO$159=12,Eingabe!$C$11,"")</f>
      </c>
      <c r="BD23" s="1">
        <f>IF($BO$159=13,Eingabe!$C$10,"")</f>
      </c>
      <c r="BE23" s="1">
        <f>IF($BO$159=14,Eingabe!$C$9,"")</f>
      </c>
      <c r="BF23" s="1">
        <f>IF($BO$159=15,Eingabe!$C$8,"")</f>
      </c>
      <c r="BG23" s="1">
        <f>IF($BO$159=16,Eingabe!$C$7,"")</f>
      </c>
      <c r="BH23" s="1">
        <f>IF($BO$159=17,Eingabe!$C$6,"")</f>
      </c>
      <c r="BI23" s="1" t="str">
        <f t="shared" si="2"/>
        <v>Spieler 17</v>
      </c>
      <c r="BK23" s="1">
        <f t="shared" si="0"/>
        <v>0</v>
      </c>
      <c r="BL23" s="1">
        <v>3</v>
      </c>
      <c r="BM23" s="1">
        <f t="shared" si="1"/>
        <v>0</v>
      </c>
      <c r="BN23" s="1">
        <v>3</v>
      </c>
      <c r="BO23" s="1">
        <v>18</v>
      </c>
    </row>
    <row r="24" spans="3:67" ht="6" customHeight="1">
      <c r="C24" s="11"/>
      <c r="E24" s="15"/>
      <c r="F24" s="15"/>
      <c r="M24" s="15"/>
      <c r="N24" s="15"/>
      <c r="U24" s="15"/>
      <c r="V24" s="15"/>
      <c r="AC24" s="15"/>
      <c r="AD24" s="15"/>
      <c r="AK24" s="15"/>
      <c r="AL24" s="15"/>
      <c r="AO24" s="2"/>
      <c r="AP24" s="2"/>
      <c r="AQ24" s="1">
        <v>18</v>
      </c>
      <c r="AR24" s="1" t="str">
        <f>IF($BO$159=1,Eingabe!$G$13,"")</f>
        <v>Spieler 18 / spielfrei</v>
      </c>
      <c r="AS24" s="1">
        <f>IF($BO$159=2,Eingabe!$G$13,"")</f>
      </c>
      <c r="AT24" s="1">
        <f>IF($BO$159=3,Eingabe!$G$13,"")</f>
      </c>
      <c r="AU24" s="1">
        <f>IF($BO$159=4,Eingabe!$G$13,"")</f>
      </c>
      <c r="AV24" s="1">
        <f>IF($BO$159=5,Eingabe!$G$13,"")</f>
      </c>
      <c r="AW24" s="1">
        <f>IF($BO$159=6,Eingabe!$G$13,"")</f>
      </c>
      <c r="AX24" s="1">
        <f>IF($BO$159=7,Eingabe!$G$13,"")</f>
      </c>
      <c r="AY24" s="1">
        <f>IF($BO$159=8,Eingabe!$G$13,"")</f>
      </c>
      <c r="AZ24" s="1">
        <f>IF($BO$159=9,Eingabe!$G$13,"")</f>
      </c>
      <c r="BA24" s="1">
        <f>IF($BO$159=10,Eingabe!$G$13,"")</f>
      </c>
      <c r="BB24" s="1">
        <f>IF($BO$159=11,Eingabe!$G$13,"")</f>
      </c>
      <c r="BC24" s="1">
        <f>IF($BO$159=12,Eingabe!$G$13,"")</f>
      </c>
      <c r="BD24" s="1">
        <f>IF($BO$159=13,Eingabe!$G$13,"")</f>
      </c>
      <c r="BE24" s="1">
        <f>IF($BO$159=14,Eingabe!$G$13,"")</f>
      </c>
      <c r="BF24" s="1">
        <f>IF($BO$159=15,Eingabe!$G$13,"")</f>
      </c>
      <c r="BG24" s="1">
        <f>IF($BO$159=16,Eingabe!$G$13,"")</f>
      </c>
      <c r="BH24" s="1">
        <f>IF($BO$159=17,Eingabe!$G$13,"")</f>
      </c>
      <c r="BI24" s="1" t="str">
        <f t="shared" si="2"/>
        <v>Spieler 18 / spielfrei</v>
      </c>
      <c r="BK24" s="1">
        <f t="shared" si="0"/>
        <v>0</v>
      </c>
      <c r="BL24" s="1">
        <v>3</v>
      </c>
      <c r="BM24" s="1">
        <f t="shared" si="1"/>
        <v>0</v>
      </c>
      <c r="BN24" s="1">
        <v>3</v>
      </c>
      <c r="BO24" s="1">
        <v>19</v>
      </c>
    </row>
    <row r="25" spans="1:67" ht="12.75">
      <c r="A25" t="str">
        <f>IF(Eingabe!$G$13="spielfrei","","Tisch 1 :")</f>
        <v>Tisch 1 :</v>
      </c>
      <c r="C25" s="15" t="str">
        <f>Eingabe!$G$8</f>
        <v>Spieler 13</v>
      </c>
      <c r="D25" s="1" t="s">
        <v>1</v>
      </c>
      <c r="E25" s="15" t="str">
        <f>Eingabe!$G$13</f>
        <v>Spieler 18 / spielfrei</v>
      </c>
      <c r="F25" s="15"/>
      <c r="G25" s="1" t="s">
        <v>26</v>
      </c>
      <c r="H25" s="1" t="str">
        <f>IF($B$7="spielfrei"," ",":")</f>
        <v>:</v>
      </c>
      <c r="I25" s="5" t="str">
        <f aca="true" t="shared" si="8" ref="I25:I33">IF(G25&lt;=1,1-G25," ")</f>
        <v> </v>
      </c>
      <c r="J25" s="3"/>
      <c r="K25" s="15" t="str">
        <f>Eingabe!$G$7</f>
        <v>Spieler 12</v>
      </c>
      <c r="L25" s="1" t="s">
        <v>1</v>
      </c>
      <c r="M25" s="15" t="str">
        <f>Eingabe!$G$13</f>
        <v>Spieler 18 / spielfrei</v>
      </c>
      <c r="N25" s="15"/>
      <c r="O25" s="1" t="s">
        <v>26</v>
      </c>
      <c r="P25" s="1" t="str">
        <f>IF($B$7="spielfrei"," ",":")</f>
        <v>:</v>
      </c>
      <c r="Q25" s="5" t="str">
        <f aca="true" t="shared" si="9" ref="Q25:Q33">IF(O25&lt;=1,1-O25," ")</f>
        <v> </v>
      </c>
      <c r="R25" s="3"/>
      <c r="S25" s="15" t="str">
        <f>Eingabe!$G$6</f>
        <v>Spieler 11</v>
      </c>
      <c r="T25" s="1" t="s">
        <v>1</v>
      </c>
      <c r="U25" s="15" t="str">
        <f>Eingabe!$G$13</f>
        <v>Spieler 18 / spielfrei</v>
      </c>
      <c r="V25" s="15"/>
      <c r="W25" s="1" t="s">
        <v>26</v>
      </c>
      <c r="X25" s="1" t="str">
        <f>IF($B$7="spielfrei"," ",":")</f>
        <v>:</v>
      </c>
      <c r="Y25" s="5" t="str">
        <f aca="true" t="shared" si="10" ref="Y25:Y33">IF(W25&lt;=1,1-W25," ")</f>
        <v> </v>
      </c>
      <c r="Z25" s="3"/>
      <c r="AA25" s="15" t="str">
        <f>Eingabe!$C$15</f>
        <v>Spieler 10</v>
      </c>
      <c r="AB25" s="1" t="s">
        <v>1</v>
      </c>
      <c r="AC25" s="15" t="str">
        <f>Eingabe!$G$13</f>
        <v>Spieler 18 / spielfrei</v>
      </c>
      <c r="AD25" s="15"/>
      <c r="AE25" s="1" t="s">
        <v>26</v>
      </c>
      <c r="AF25" s="1" t="str">
        <f>IF($B$7="spielfrei"," ",":")</f>
        <v>:</v>
      </c>
      <c r="AG25" s="5" t="str">
        <f aca="true" t="shared" si="11" ref="AG25:AG33">IF(AE25&lt;=1,1-AE25," ")</f>
        <v> </v>
      </c>
      <c r="AH25" s="3"/>
      <c r="AI25" s="15" t="str">
        <f>Eingabe!$C$14</f>
        <v>Spieler 9</v>
      </c>
      <c r="AJ25" s="1" t="s">
        <v>1</v>
      </c>
      <c r="AK25" s="15" t="str">
        <f>Eingabe!$G$13</f>
        <v>Spieler 18 / spielfrei</v>
      </c>
      <c r="AL25" s="15"/>
      <c r="AM25" s="1" t="s">
        <v>26</v>
      </c>
      <c r="AN25" s="1" t="str">
        <f>IF($B$7="spielfrei"," ",":")</f>
        <v>:</v>
      </c>
      <c r="AO25" s="3" t="str">
        <f aca="true" t="shared" si="12" ref="AO25:AO33">IF(AM25&lt;=1,1-AM25," ")</f>
        <v> </v>
      </c>
      <c r="AP25" s="2"/>
      <c r="BK25" s="1">
        <f t="shared" si="0"/>
        <v>0</v>
      </c>
      <c r="BL25" s="1">
        <v>3</v>
      </c>
      <c r="BM25" s="1">
        <f t="shared" si="1"/>
        <v>0</v>
      </c>
      <c r="BN25" s="1">
        <v>3</v>
      </c>
      <c r="BO25" s="1">
        <v>20</v>
      </c>
    </row>
    <row r="26" spans="1:67" ht="12.75">
      <c r="A26" t="str">
        <f>IF(Eingabe!$G$13="spielfrei","Tisch 1 :","Tisch 2 :")</f>
        <v>Tisch 2 :</v>
      </c>
      <c r="C26" s="15" t="str">
        <f>Eingabe!$G$7</f>
        <v>Spieler 12</v>
      </c>
      <c r="D26" s="1" t="s">
        <v>1</v>
      </c>
      <c r="E26" s="15" t="str">
        <f>Eingabe!$G$9</f>
        <v>Spieler 14</v>
      </c>
      <c r="F26" s="15"/>
      <c r="G26" s="1" t="s">
        <v>26</v>
      </c>
      <c r="H26" s="1" t="s">
        <v>1</v>
      </c>
      <c r="I26" s="5" t="str">
        <f t="shared" si="8"/>
        <v> </v>
      </c>
      <c r="J26" s="3"/>
      <c r="K26" s="15" t="str">
        <f>Eingabe!$G$6</f>
        <v>Spieler 11</v>
      </c>
      <c r="L26" s="1" t="s">
        <v>1</v>
      </c>
      <c r="M26" s="15" t="str">
        <f>Eingabe!$G$8</f>
        <v>Spieler 13</v>
      </c>
      <c r="N26" s="15"/>
      <c r="O26" s="1" t="s">
        <v>26</v>
      </c>
      <c r="P26" s="1" t="s">
        <v>1</v>
      </c>
      <c r="Q26" s="5" t="str">
        <f t="shared" si="9"/>
        <v> </v>
      </c>
      <c r="R26" s="3"/>
      <c r="S26" s="15" t="str">
        <f>Eingabe!$C$15</f>
        <v>Spieler 10</v>
      </c>
      <c r="T26" s="1" t="s">
        <v>1</v>
      </c>
      <c r="U26" s="15" t="str">
        <f>Eingabe!$G$7</f>
        <v>Spieler 12</v>
      </c>
      <c r="V26" s="15"/>
      <c r="W26" s="1" t="s">
        <v>26</v>
      </c>
      <c r="X26" s="1" t="s">
        <v>1</v>
      </c>
      <c r="Y26" s="5" t="str">
        <f t="shared" si="10"/>
        <v> </v>
      </c>
      <c r="Z26" s="3"/>
      <c r="AA26" s="15" t="str">
        <f>Eingabe!$C$14</f>
        <v>Spieler 9</v>
      </c>
      <c r="AB26" s="1" t="s">
        <v>1</v>
      </c>
      <c r="AC26" s="15" t="str">
        <f>Eingabe!$G$6</f>
        <v>Spieler 11</v>
      </c>
      <c r="AD26" s="15"/>
      <c r="AE26" s="1" t="s">
        <v>26</v>
      </c>
      <c r="AF26" s="1" t="s">
        <v>1</v>
      </c>
      <c r="AG26" s="5" t="str">
        <f t="shared" si="11"/>
        <v> </v>
      </c>
      <c r="AH26" s="3"/>
      <c r="AI26" s="15" t="str">
        <f>Eingabe!$C$13</f>
        <v>Spieler 8</v>
      </c>
      <c r="AJ26" s="1" t="s">
        <v>1</v>
      </c>
      <c r="AK26" s="15" t="str">
        <f>Eingabe!$C$15</f>
        <v>Spieler 10</v>
      </c>
      <c r="AL26" s="15"/>
      <c r="AM26" s="1" t="s">
        <v>26</v>
      </c>
      <c r="AN26" s="1" t="s">
        <v>1</v>
      </c>
      <c r="AO26" s="3" t="str">
        <f t="shared" si="12"/>
        <v> </v>
      </c>
      <c r="AP26" s="2"/>
      <c r="BK26" s="1">
        <f t="shared" si="0"/>
        <v>0</v>
      </c>
      <c r="BL26" s="1">
        <v>3</v>
      </c>
      <c r="BM26" s="1">
        <f t="shared" si="1"/>
        <v>0</v>
      </c>
      <c r="BN26" s="1">
        <v>3</v>
      </c>
      <c r="BO26" s="1">
        <v>21</v>
      </c>
    </row>
    <row r="27" spans="1:67" ht="12.75">
      <c r="A27" t="str">
        <f>IF(Eingabe!$G$13="spielfrei","Tisch 2 :","Tisch 3 :")</f>
        <v>Tisch 3 :</v>
      </c>
      <c r="C27" s="15" t="str">
        <f>Eingabe!$G$6</f>
        <v>Spieler 11</v>
      </c>
      <c r="D27" s="1" t="s">
        <v>1</v>
      </c>
      <c r="E27" s="15" t="str">
        <f>Eingabe!$G$10</f>
        <v>Spieler 15</v>
      </c>
      <c r="F27" s="15"/>
      <c r="G27" s="1" t="s">
        <v>26</v>
      </c>
      <c r="H27" s="1" t="s">
        <v>1</v>
      </c>
      <c r="I27" s="5" t="str">
        <f t="shared" si="8"/>
        <v> </v>
      </c>
      <c r="J27" s="3"/>
      <c r="K27" s="15" t="str">
        <f>Eingabe!$C$15</f>
        <v>Spieler 10</v>
      </c>
      <c r="L27" s="1" t="s">
        <v>1</v>
      </c>
      <c r="M27" s="15" t="str">
        <f>Eingabe!$G$9</f>
        <v>Spieler 14</v>
      </c>
      <c r="N27" s="15"/>
      <c r="O27" s="1" t="s">
        <v>26</v>
      </c>
      <c r="P27" s="1" t="s">
        <v>1</v>
      </c>
      <c r="Q27" s="5" t="str">
        <f t="shared" si="9"/>
        <v> </v>
      </c>
      <c r="R27" s="3"/>
      <c r="S27" s="15" t="str">
        <f>Eingabe!$C$14</f>
        <v>Spieler 9</v>
      </c>
      <c r="T27" s="1" t="s">
        <v>1</v>
      </c>
      <c r="U27" s="15" t="str">
        <f>Eingabe!$G$8</f>
        <v>Spieler 13</v>
      </c>
      <c r="V27" s="15"/>
      <c r="W27" s="1" t="s">
        <v>26</v>
      </c>
      <c r="X27" s="1" t="s">
        <v>1</v>
      </c>
      <c r="Y27" s="5" t="str">
        <f t="shared" si="10"/>
        <v> </v>
      </c>
      <c r="Z27" s="3"/>
      <c r="AA27" s="15" t="str">
        <f>Eingabe!$C$13</f>
        <v>Spieler 8</v>
      </c>
      <c r="AB27" s="1" t="s">
        <v>1</v>
      </c>
      <c r="AC27" s="15" t="str">
        <f>Eingabe!$G$7</f>
        <v>Spieler 12</v>
      </c>
      <c r="AD27" s="15"/>
      <c r="AE27" s="1" t="s">
        <v>26</v>
      </c>
      <c r="AF27" s="1" t="s">
        <v>1</v>
      </c>
      <c r="AG27" s="5" t="str">
        <f t="shared" si="11"/>
        <v> </v>
      </c>
      <c r="AH27" s="3"/>
      <c r="AI27" s="15" t="str">
        <f>Eingabe!$C$12</f>
        <v>Spieler 7</v>
      </c>
      <c r="AJ27" s="1" t="s">
        <v>1</v>
      </c>
      <c r="AK27" s="15" t="str">
        <f>Eingabe!$G$6</f>
        <v>Spieler 11</v>
      </c>
      <c r="AL27" s="15"/>
      <c r="AM27" s="1" t="s">
        <v>26</v>
      </c>
      <c r="AN27" s="1" t="s">
        <v>1</v>
      </c>
      <c r="AO27" s="3" t="str">
        <f t="shared" si="12"/>
        <v> </v>
      </c>
      <c r="AP27" s="2"/>
      <c r="BK27" s="1">
        <f t="shared" si="0"/>
        <v>0</v>
      </c>
      <c r="BL27" s="1">
        <v>3</v>
      </c>
      <c r="BM27" s="1">
        <f t="shared" si="1"/>
        <v>0</v>
      </c>
      <c r="BN27" s="1">
        <v>3</v>
      </c>
      <c r="BO27" s="1">
        <v>22</v>
      </c>
    </row>
    <row r="28" spans="1:67" ht="12.75">
      <c r="A28" t="str">
        <f>IF(Eingabe!$G$13="spielfrei","Tisch 3 :","Tisch 4 :")</f>
        <v>Tisch 4 :</v>
      </c>
      <c r="C28" s="15" t="str">
        <f>Eingabe!$C$15</f>
        <v>Spieler 10</v>
      </c>
      <c r="D28" s="1" t="s">
        <v>1</v>
      </c>
      <c r="E28" s="15" t="str">
        <f>Eingabe!$G$11</f>
        <v>Spieler 16</v>
      </c>
      <c r="F28" s="15"/>
      <c r="G28" s="1" t="s">
        <v>26</v>
      </c>
      <c r="H28" s="1" t="s">
        <v>1</v>
      </c>
      <c r="I28" s="5" t="str">
        <f t="shared" si="8"/>
        <v> </v>
      </c>
      <c r="J28" s="3"/>
      <c r="K28" s="15" t="str">
        <f>Eingabe!$C$14</f>
        <v>Spieler 9</v>
      </c>
      <c r="L28" s="1" t="s">
        <v>1</v>
      </c>
      <c r="M28" s="15" t="str">
        <f>Eingabe!$G$10</f>
        <v>Spieler 15</v>
      </c>
      <c r="N28" s="15"/>
      <c r="O28" s="1" t="s">
        <v>26</v>
      </c>
      <c r="P28" s="1" t="s">
        <v>1</v>
      </c>
      <c r="Q28" s="5" t="str">
        <f t="shared" si="9"/>
        <v> </v>
      </c>
      <c r="R28" s="3"/>
      <c r="S28" s="15" t="str">
        <f>Eingabe!$C$13</f>
        <v>Spieler 8</v>
      </c>
      <c r="T28" s="1" t="s">
        <v>1</v>
      </c>
      <c r="U28" s="15" t="str">
        <f>Eingabe!$G$9</f>
        <v>Spieler 14</v>
      </c>
      <c r="V28" s="15"/>
      <c r="W28" s="1" t="s">
        <v>26</v>
      </c>
      <c r="X28" s="1" t="s">
        <v>1</v>
      </c>
      <c r="Y28" s="5" t="str">
        <f t="shared" si="10"/>
        <v> </v>
      </c>
      <c r="Z28" s="3"/>
      <c r="AA28" s="15" t="str">
        <f>Eingabe!$C$12</f>
        <v>Spieler 7</v>
      </c>
      <c r="AB28" s="1" t="s">
        <v>1</v>
      </c>
      <c r="AC28" s="15" t="str">
        <f>Eingabe!$G$8</f>
        <v>Spieler 13</v>
      </c>
      <c r="AD28" s="15"/>
      <c r="AE28" s="1" t="s">
        <v>26</v>
      </c>
      <c r="AF28" s="1" t="s">
        <v>1</v>
      </c>
      <c r="AG28" s="5" t="str">
        <f t="shared" si="11"/>
        <v> </v>
      </c>
      <c r="AH28" s="3"/>
      <c r="AI28" s="15" t="str">
        <f>Eingabe!$C$11</f>
        <v>Spieler 6</v>
      </c>
      <c r="AJ28" s="1" t="s">
        <v>1</v>
      </c>
      <c r="AK28" s="15" t="str">
        <f>Eingabe!$G$7</f>
        <v>Spieler 12</v>
      </c>
      <c r="AL28" s="15"/>
      <c r="AM28" s="1" t="s">
        <v>26</v>
      </c>
      <c r="AN28" s="1" t="s">
        <v>1</v>
      </c>
      <c r="AO28" s="3" t="str">
        <f t="shared" si="12"/>
        <v> </v>
      </c>
      <c r="AP28" s="2"/>
      <c r="BK28" s="1">
        <f t="shared" si="0"/>
        <v>0</v>
      </c>
      <c r="BL28" s="1">
        <v>3</v>
      </c>
      <c r="BM28" s="1">
        <f t="shared" si="1"/>
        <v>0</v>
      </c>
      <c r="BN28" s="1">
        <v>3</v>
      </c>
      <c r="BO28" s="1">
        <v>23</v>
      </c>
    </row>
    <row r="29" spans="1:67" ht="12.75">
      <c r="A29" t="str">
        <f>IF(Eingabe!$G$13="spielfrei","Tisch 4 :","Tisch 5 :")</f>
        <v>Tisch 5 :</v>
      </c>
      <c r="C29" s="15" t="str">
        <f>Eingabe!$C$14</f>
        <v>Spieler 9</v>
      </c>
      <c r="D29" s="1" t="s">
        <v>1</v>
      </c>
      <c r="E29" s="15" t="str">
        <f>Eingabe!$G$12</f>
        <v>Spieler 17</v>
      </c>
      <c r="F29" s="15"/>
      <c r="G29" s="1" t="s">
        <v>26</v>
      </c>
      <c r="H29" s="1" t="s">
        <v>1</v>
      </c>
      <c r="I29" s="5" t="str">
        <f t="shared" si="8"/>
        <v> </v>
      </c>
      <c r="J29" s="3"/>
      <c r="K29" s="15" t="str">
        <f>Eingabe!$C$13</f>
        <v>Spieler 8</v>
      </c>
      <c r="L29" s="1" t="s">
        <v>1</v>
      </c>
      <c r="M29" s="15" t="str">
        <f>Eingabe!$G$11</f>
        <v>Spieler 16</v>
      </c>
      <c r="N29" s="15"/>
      <c r="O29" s="1" t="s">
        <v>26</v>
      </c>
      <c r="P29" s="1" t="s">
        <v>1</v>
      </c>
      <c r="Q29" s="5" t="str">
        <f t="shared" si="9"/>
        <v> </v>
      </c>
      <c r="R29" s="3"/>
      <c r="S29" s="15" t="str">
        <f>Eingabe!$C$12</f>
        <v>Spieler 7</v>
      </c>
      <c r="T29" s="1" t="s">
        <v>1</v>
      </c>
      <c r="U29" s="15" t="str">
        <f>Eingabe!$G$10</f>
        <v>Spieler 15</v>
      </c>
      <c r="V29" s="15"/>
      <c r="W29" s="1" t="s">
        <v>26</v>
      </c>
      <c r="X29" s="1" t="s">
        <v>1</v>
      </c>
      <c r="Y29" s="5" t="str">
        <f t="shared" si="10"/>
        <v> </v>
      </c>
      <c r="Z29" s="3"/>
      <c r="AA29" s="15" t="str">
        <f>Eingabe!$C$11</f>
        <v>Spieler 6</v>
      </c>
      <c r="AB29" s="1" t="s">
        <v>1</v>
      </c>
      <c r="AC29" s="15" t="str">
        <f>Eingabe!$G$9</f>
        <v>Spieler 14</v>
      </c>
      <c r="AD29" s="15"/>
      <c r="AE29" s="1" t="s">
        <v>26</v>
      </c>
      <c r="AF29" s="1" t="s">
        <v>1</v>
      </c>
      <c r="AG29" s="5" t="str">
        <f t="shared" si="11"/>
        <v> </v>
      </c>
      <c r="AH29" s="3"/>
      <c r="AI29" s="15" t="str">
        <f>Eingabe!$C$10</f>
        <v>Spieler 5</v>
      </c>
      <c r="AJ29" s="1" t="s">
        <v>1</v>
      </c>
      <c r="AK29" s="15" t="str">
        <f>Eingabe!$G$8</f>
        <v>Spieler 13</v>
      </c>
      <c r="AL29" s="15"/>
      <c r="AM29" s="1" t="s">
        <v>26</v>
      </c>
      <c r="AN29" s="1" t="s">
        <v>1</v>
      </c>
      <c r="AO29" s="3" t="str">
        <f t="shared" si="12"/>
        <v> </v>
      </c>
      <c r="AP29" s="2"/>
      <c r="BK29" s="1">
        <f t="shared" si="0"/>
        <v>0</v>
      </c>
      <c r="BL29" s="1">
        <v>4</v>
      </c>
      <c r="BM29" s="1">
        <f t="shared" si="1"/>
        <v>0</v>
      </c>
      <c r="BN29" s="1">
        <v>3</v>
      </c>
      <c r="BO29" s="1">
        <v>24</v>
      </c>
    </row>
    <row r="30" spans="1:67" ht="12.75">
      <c r="A30" t="str">
        <f>IF(Eingabe!$G$13="spielfrei","Tisch 5 :","Tisch 6 :")</f>
        <v>Tisch 6 :</v>
      </c>
      <c r="C30" s="15" t="str">
        <f>Eingabe!$C$13</f>
        <v>Spieler 8</v>
      </c>
      <c r="D30" s="1" t="s">
        <v>1</v>
      </c>
      <c r="E30" s="15" t="str">
        <f>Eingabe!$C$6</f>
        <v>Spieler 1</v>
      </c>
      <c r="F30" s="15"/>
      <c r="G30" s="1" t="s">
        <v>26</v>
      </c>
      <c r="H30" s="1" t="s">
        <v>1</v>
      </c>
      <c r="I30" s="5" t="str">
        <f t="shared" si="8"/>
        <v> </v>
      </c>
      <c r="J30" s="3"/>
      <c r="K30" s="15" t="str">
        <f>Eingabe!$C$12</f>
        <v>Spieler 7</v>
      </c>
      <c r="L30" s="1" t="s">
        <v>1</v>
      </c>
      <c r="M30" s="15" t="str">
        <f>Eingabe!$G$12</f>
        <v>Spieler 17</v>
      </c>
      <c r="N30" s="15"/>
      <c r="O30" s="1" t="s">
        <v>26</v>
      </c>
      <c r="P30" s="1" t="s">
        <v>1</v>
      </c>
      <c r="Q30" s="5" t="str">
        <f t="shared" si="9"/>
        <v> </v>
      </c>
      <c r="R30" s="3"/>
      <c r="S30" s="15" t="str">
        <f>Eingabe!$C$11</f>
        <v>Spieler 6</v>
      </c>
      <c r="T30" s="1" t="s">
        <v>1</v>
      </c>
      <c r="U30" s="15" t="str">
        <f>Eingabe!$G$11</f>
        <v>Spieler 16</v>
      </c>
      <c r="V30" s="15"/>
      <c r="W30" s="1" t="s">
        <v>26</v>
      </c>
      <c r="X30" s="1" t="s">
        <v>1</v>
      </c>
      <c r="Y30" s="5" t="str">
        <f t="shared" si="10"/>
        <v> </v>
      </c>
      <c r="Z30" s="3"/>
      <c r="AA30" s="15" t="str">
        <f>Eingabe!$C$10</f>
        <v>Spieler 5</v>
      </c>
      <c r="AB30" s="1" t="s">
        <v>1</v>
      </c>
      <c r="AC30" s="15" t="str">
        <f>Eingabe!$G$10</f>
        <v>Spieler 15</v>
      </c>
      <c r="AD30" s="15"/>
      <c r="AE30" s="1" t="s">
        <v>26</v>
      </c>
      <c r="AF30" s="1" t="s">
        <v>1</v>
      </c>
      <c r="AG30" s="5" t="str">
        <f t="shared" si="11"/>
        <v> </v>
      </c>
      <c r="AH30" s="3"/>
      <c r="AI30" s="15" t="str">
        <f>Eingabe!$C$9</f>
        <v>Spieler 4</v>
      </c>
      <c r="AJ30" s="1" t="s">
        <v>1</v>
      </c>
      <c r="AK30" s="15" t="str">
        <f>Eingabe!$G$9</f>
        <v>Spieler 14</v>
      </c>
      <c r="AL30" s="15"/>
      <c r="AM30" s="1" t="s">
        <v>26</v>
      </c>
      <c r="AN30" s="1" t="s">
        <v>1</v>
      </c>
      <c r="AO30" s="3" t="str">
        <f t="shared" si="12"/>
        <v> </v>
      </c>
      <c r="AP30" s="2"/>
      <c r="BK30" s="1">
        <f t="shared" si="0"/>
        <v>0</v>
      </c>
      <c r="BL30" s="1">
        <v>4</v>
      </c>
      <c r="BM30" s="1">
        <f t="shared" si="1"/>
        <v>0</v>
      </c>
      <c r="BN30" s="1">
        <v>3</v>
      </c>
      <c r="BO30" s="1">
        <v>25</v>
      </c>
    </row>
    <row r="31" spans="1:67" ht="12.75">
      <c r="A31" t="str">
        <f>IF(Eingabe!$G$13="spielfrei","Tisch 6 :","Tisch 7 :")</f>
        <v>Tisch 7 :</v>
      </c>
      <c r="C31" s="15" t="str">
        <f>Eingabe!$C$12</f>
        <v>Spieler 7</v>
      </c>
      <c r="D31" s="1" t="s">
        <v>1</v>
      </c>
      <c r="E31" s="15" t="str">
        <f>Eingabe!$C$7</f>
        <v>Spieler 2</v>
      </c>
      <c r="F31" s="15"/>
      <c r="G31" s="1" t="s">
        <v>26</v>
      </c>
      <c r="H31" s="1" t="s">
        <v>1</v>
      </c>
      <c r="I31" s="5" t="str">
        <f t="shared" si="8"/>
        <v> </v>
      </c>
      <c r="J31" s="3"/>
      <c r="K31" s="15" t="str">
        <f>Eingabe!$C$11</f>
        <v>Spieler 6</v>
      </c>
      <c r="L31" s="1" t="s">
        <v>1</v>
      </c>
      <c r="M31" s="15" t="str">
        <f>Eingabe!$C$6</f>
        <v>Spieler 1</v>
      </c>
      <c r="N31" s="15"/>
      <c r="O31" s="1" t="s">
        <v>26</v>
      </c>
      <c r="P31" s="1" t="s">
        <v>1</v>
      </c>
      <c r="Q31" s="5" t="str">
        <f t="shared" si="9"/>
        <v> </v>
      </c>
      <c r="R31" s="3"/>
      <c r="S31" s="15" t="str">
        <f>Eingabe!$C$10</f>
        <v>Spieler 5</v>
      </c>
      <c r="T31" s="1" t="s">
        <v>1</v>
      </c>
      <c r="U31" s="15" t="str">
        <f>Eingabe!$G$12</f>
        <v>Spieler 17</v>
      </c>
      <c r="V31" s="15"/>
      <c r="W31" s="1" t="s">
        <v>26</v>
      </c>
      <c r="X31" s="1" t="s">
        <v>1</v>
      </c>
      <c r="Y31" s="5" t="str">
        <f t="shared" si="10"/>
        <v> </v>
      </c>
      <c r="Z31" s="3"/>
      <c r="AA31" s="15" t="str">
        <f>Eingabe!$C$9</f>
        <v>Spieler 4</v>
      </c>
      <c r="AB31" s="1" t="s">
        <v>1</v>
      </c>
      <c r="AC31" s="15" t="str">
        <f>Eingabe!$G$11</f>
        <v>Spieler 16</v>
      </c>
      <c r="AD31" s="15"/>
      <c r="AE31" s="1" t="s">
        <v>26</v>
      </c>
      <c r="AF31" s="1" t="s">
        <v>1</v>
      </c>
      <c r="AG31" s="5" t="str">
        <f t="shared" si="11"/>
        <v> </v>
      </c>
      <c r="AH31" s="3"/>
      <c r="AI31" s="15" t="str">
        <f>Eingabe!$C$8</f>
        <v>Spieler 3</v>
      </c>
      <c r="AJ31" s="1" t="s">
        <v>1</v>
      </c>
      <c r="AK31" s="15" t="str">
        <f>Eingabe!$G$10</f>
        <v>Spieler 15</v>
      </c>
      <c r="AL31" s="15"/>
      <c r="AM31" s="1" t="s">
        <v>26</v>
      </c>
      <c r="AN31" s="1" t="s">
        <v>1</v>
      </c>
      <c r="AO31" s="3" t="str">
        <f t="shared" si="12"/>
        <v> </v>
      </c>
      <c r="AP31" s="2"/>
      <c r="BK31" s="1">
        <f t="shared" si="0"/>
        <v>0</v>
      </c>
      <c r="BL31" s="1">
        <v>4</v>
      </c>
      <c r="BM31" s="1">
        <f t="shared" si="1"/>
        <v>0</v>
      </c>
      <c r="BN31" s="1">
        <v>3</v>
      </c>
      <c r="BO31" s="1">
        <v>26</v>
      </c>
    </row>
    <row r="32" spans="1:67" ht="12.75">
      <c r="A32" t="str">
        <f>IF(Eingabe!$G$13="spielfrei","Tisch 7 :","Tisch 8 :")</f>
        <v>Tisch 8 :</v>
      </c>
      <c r="C32" s="15" t="str">
        <f>Eingabe!$C$11</f>
        <v>Spieler 6</v>
      </c>
      <c r="D32" s="1" t="s">
        <v>1</v>
      </c>
      <c r="E32" s="15" t="str">
        <f>Eingabe!$C$8</f>
        <v>Spieler 3</v>
      </c>
      <c r="F32" s="15"/>
      <c r="G32" s="1" t="s">
        <v>26</v>
      </c>
      <c r="H32" s="1" t="s">
        <v>1</v>
      </c>
      <c r="I32" s="5" t="str">
        <f t="shared" si="8"/>
        <v> </v>
      </c>
      <c r="J32" s="3"/>
      <c r="K32" s="15" t="str">
        <f>Eingabe!$C$10</f>
        <v>Spieler 5</v>
      </c>
      <c r="L32" s="1" t="s">
        <v>1</v>
      </c>
      <c r="M32" s="15" t="str">
        <f>Eingabe!$C$7</f>
        <v>Spieler 2</v>
      </c>
      <c r="N32" s="15"/>
      <c r="O32" s="1" t="s">
        <v>26</v>
      </c>
      <c r="P32" s="1" t="s">
        <v>1</v>
      </c>
      <c r="Q32" s="5" t="str">
        <f t="shared" si="9"/>
        <v> </v>
      </c>
      <c r="R32" s="3"/>
      <c r="S32" s="15" t="str">
        <f>Eingabe!$C$9</f>
        <v>Spieler 4</v>
      </c>
      <c r="T32" s="1" t="s">
        <v>1</v>
      </c>
      <c r="U32" s="15" t="str">
        <f>Eingabe!$C$6</f>
        <v>Spieler 1</v>
      </c>
      <c r="V32" s="15"/>
      <c r="W32" s="1" t="s">
        <v>26</v>
      </c>
      <c r="X32" s="1" t="s">
        <v>1</v>
      </c>
      <c r="Y32" s="5" t="str">
        <f t="shared" si="10"/>
        <v> </v>
      </c>
      <c r="Z32" s="3"/>
      <c r="AA32" s="15" t="str">
        <f>Eingabe!$C$8</f>
        <v>Spieler 3</v>
      </c>
      <c r="AB32" s="1" t="s">
        <v>1</v>
      </c>
      <c r="AC32" s="15" t="str">
        <f>Eingabe!$G$12</f>
        <v>Spieler 17</v>
      </c>
      <c r="AD32" s="15"/>
      <c r="AE32" s="1" t="s">
        <v>26</v>
      </c>
      <c r="AF32" s="1" t="s">
        <v>1</v>
      </c>
      <c r="AG32" s="5" t="str">
        <f t="shared" si="11"/>
        <v> </v>
      </c>
      <c r="AH32" s="3"/>
      <c r="AI32" s="15" t="str">
        <f>Eingabe!$C$7</f>
        <v>Spieler 2</v>
      </c>
      <c r="AJ32" s="1" t="s">
        <v>1</v>
      </c>
      <c r="AK32" s="15" t="str">
        <f>Eingabe!$G$11</f>
        <v>Spieler 16</v>
      </c>
      <c r="AL32" s="15"/>
      <c r="AM32" s="1" t="s">
        <v>26</v>
      </c>
      <c r="AN32" s="1" t="s">
        <v>1</v>
      </c>
      <c r="AO32" s="3" t="str">
        <f t="shared" si="12"/>
        <v> </v>
      </c>
      <c r="AP32" s="2"/>
      <c r="BK32" s="1">
        <f t="shared" si="0"/>
        <v>0</v>
      </c>
      <c r="BL32" s="1">
        <v>4</v>
      </c>
      <c r="BM32" s="1">
        <f t="shared" si="1"/>
        <v>0</v>
      </c>
      <c r="BN32" s="1">
        <v>4</v>
      </c>
      <c r="BO32" s="1">
        <v>27</v>
      </c>
    </row>
    <row r="33" spans="1:67" ht="12.75">
      <c r="A33" t="str">
        <f>IF(Eingabe!$G$13="spielfrei","Tisch 8 :","Tisch 9 :")</f>
        <v>Tisch 9 :</v>
      </c>
      <c r="C33" s="15" t="str">
        <f>Eingabe!$C$10</f>
        <v>Spieler 5</v>
      </c>
      <c r="D33" s="1" t="s">
        <v>1</v>
      </c>
      <c r="E33" s="15" t="str">
        <f>Eingabe!$C$9</f>
        <v>Spieler 4</v>
      </c>
      <c r="F33" s="15"/>
      <c r="G33" s="1" t="s">
        <v>26</v>
      </c>
      <c r="H33" s="1" t="s">
        <v>1</v>
      </c>
      <c r="I33" s="5" t="str">
        <f t="shared" si="8"/>
        <v> </v>
      </c>
      <c r="J33" s="3"/>
      <c r="K33" s="15" t="str">
        <f>Eingabe!$C$9</f>
        <v>Spieler 4</v>
      </c>
      <c r="L33" s="1" t="s">
        <v>1</v>
      </c>
      <c r="M33" s="15" t="str">
        <f>Eingabe!$C$8</f>
        <v>Spieler 3</v>
      </c>
      <c r="N33" s="15"/>
      <c r="O33" s="1" t="s">
        <v>26</v>
      </c>
      <c r="P33" s="1" t="s">
        <v>1</v>
      </c>
      <c r="Q33" s="5" t="str">
        <f t="shared" si="9"/>
        <v> </v>
      </c>
      <c r="R33" s="3"/>
      <c r="S33" s="15" t="str">
        <f>Eingabe!$C$8</f>
        <v>Spieler 3</v>
      </c>
      <c r="T33" s="1" t="s">
        <v>1</v>
      </c>
      <c r="U33" s="15" t="str">
        <f>Eingabe!$C$7</f>
        <v>Spieler 2</v>
      </c>
      <c r="V33" s="15"/>
      <c r="W33" s="1" t="s">
        <v>26</v>
      </c>
      <c r="X33" s="1" t="s">
        <v>1</v>
      </c>
      <c r="Y33" s="5" t="str">
        <f t="shared" si="10"/>
        <v> </v>
      </c>
      <c r="Z33" s="3"/>
      <c r="AA33" s="15" t="str">
        <f>Eingabe!$C$7</f>
        <v>Spieler 2</v>
      </c>
      <c r="AB33" s="1" t="s">
        <v>1</v>
      </c>
      <c r="AC33" s="15" t="str">
        <f>Eingabe!$C$6</f>
        <v>Spieler 1</v>
      </c>
      <c r="AD33" s="15"/>
      <c r="AE33" s="1" t="s">
        <v>26</v>
      </c>
      <c r="AF33" s="1" t="s">
        <v>1</v>
      </c>
      <c r="AG33" s="5" t="str">
        <f t="shared" si="11"/>
        <v> </v>
      </c>
      <c r="AH33" s="3"/>
      <c r="AI33" s="15" t="str">
        <f>Eingabe!$C$6</f>
        <v>Spieler 1</v>
      </c>
      <c r="AJ33" s="1" t="s">
        <v>1</v>
      </c>
      <c r="AK33" s="15" t="str">
        <f>Eingabe!$G$12</f>
        <v>Spieler 17</v>
      </c>
      <c r="AL33" s="15"/>
      <c r="AM33" s="1" t="s">
        <v>26</v>
      </c>
      <c r="AN33" s="1" t="s">
        <v>1</v>
      </c>
      <c r="AO33" s="3" t="str">
        <f t="shared" si="12"/>
        <v> </v>
      </c>
      <c r="AP33" s="2"/>
      <c r="BK33" s="1">
        <f t="shared" si="0"/>
        <v>0</v>
      </c>
      <c r="BL33" s="1">
        <v>4</v>
      </c>
      <c r="BM33" s="1">
        <f t="shared" si="1"/>
        <v>0</v>
      </c>
      <c r="BN33" s="1">
        <v>4</v>
      </c>
      <c r="BO33" s="1">
        <v>28</v>
      </c>
    </row>
    <row r="34" spans="5:67" ht="12.75">
      <c r="E34" s="15"/>
      <c r="F34" s="15"/>
      <c r="M34" s="15"/>
      <c r="N34" s="15"/>
      <c r="U34" s="15"/>
      <c r="V34" s="15"/>
      <c r="AC34" s="15"/>
      <c r="AD34" s="15"/>
      <c r="AE34" s="1"/>
      <c r="AK34" s="15"/>
      <c r="AL34" s="15"/>
      <c r="AO34" s="2"/>
      <c r="AP34" s="2"/>
      <c r="BK34" s="1">
        <f t="shared" si="0"/>
        <v>0</v>
      </c>
      <c r="BL34" s="1">
        <v>4</v>
      </c>
      <c r="BM34" s="1">
        <f t="shared" si="1"/>
        <v>0</v>
      </c>
      <c r="BN34" s="1">
        <v>4</v>
      </c>
      <c r="BO34" s="1">
        <v>29</v>
      </c>
    </row>
    <row r="35" spans="5:67" ht="12.75">
      <c r="E35" s="15"/>
      <c r="F35" s="15"/>
      <c r="M35" s="15"/>
      <c r="N35" s="15"/>
      <c r="U35" s="15"/>
      <c r="V35" s="15"/>
      <c r="AC35" s="15"/>
      <c r="AD35" s="15"/>
      <c r="AK35" s="15"/>
      <c r="AL35" s="15"/>
      <c r="AO35" s="2"/>
      <c r="AP35" s="2"/>
      <c r="BK35" s="1">
        <f t="shared" si="0"/>
        <v>0</v>
      </c>
      <c r="BL35" s="1">
        <v>4</v>
      </c>
      <c r="BM35" s="1">
        <f t="shared" si="1"/>
        <v>0</v>
      </c>
      <c r="BN35" s="1">
        <v>4</v>
      </c>
      <c r="BO35" s="1">
        <v>30</v>
      </c>
    </row>
    <row r="36" spans="4:67" ht="12.75">
      <c r="D36" s="11" t="s">
        <v>32</v>
      </c>
      <c r="E36" s="15"/>
      <c r="F36" s="15"/>
      <c r="L36" s="11" t="s">
        <v>33</v>
      </c>
      <c r="M36" s="15"/>
      <c r="N36" s="15"/>
      <c r="T36" s="11" t="s">
        <v>34</v>
      </c>
      <c r="U36" s="15"/>
      <c r="V36" s="15"/>
      <c r="AB36" s="11" t="s">
        <v>35</v>
      </c>
      <c r="AC36" s="15"/>
      <c r="AD36" s="15"/>
      <c r="AJ36" s="11" t="s">
        <v>36</v>
      </c>
      <c r="AK36" s="15"/>
      <c r="AL36" s="15"/>
      <c r="AO36" s="2"/>
      <c r="AP36" s="2"/>
      <c r="BK36" s="1">
        <f t="shared" si="0"/>
        <v>0</v>
      </c>
      <c r="BL36" s="1">
        <v>4</v>
      </c>
      <c r="BM36" s="1">
        <f t="shared" si="1"/>
        <v>0</v>
      </c>
      <c r="BN36" s="1">
        <v>4</v>
      </c>
      <c r="BO36" s="1">
        <v>31</v>
      </c>
    </row>
    <row r="37" spans="3:67" ht="6" customHeight="1">
      <c r="C37" s="11"/>
      <c r="E37" s="15"/>
      <c r="F37" s="15"/>
      <c r="M37" s="15"/>
      <c r="N37" s="15"/>
      <c r="U37" s="15"/>
      <c r="V37" s="15"/>
      <c r="W37" s="1" t="s">
        <v>26</v>
      </c>
      <c r="AC37" s="15"/>
      <c r="AD37" s="15"/>
      <c r="AK37" s="15"/>
      <c r="AL37" s="15"/>
      <c r="AO37" s="2"/>
      <c r="AP37" s="2"/>
      <c r="BK37" s="1">
        <f t="shared" si="0"/>
        <v>0</v>
      </c>
      <c r="BL37" s="1">
        <v>5</v>
      </c>
      <c r="BM37" s="1">
        <f t="shared" si="1"/>
        <v>0</v>
      </c>
      <c r="BN37" s="1">
        <v>4</v>
      </c>
      <c r="BO37" s="1">
        <v>32</v>
      </c>
    </row>
    <row r="38" spans="1:67" ht="12.75">
      <c r="A38" t="str">
        <f>IF(Eingabe!$G$13="spielfrei","","Tisch 1 :")</f>
        <v>Tisch 1 :</v>
      </c>
      <c r="C38" s="15" t="str">
        <f>Eingabe!$C$13</f>
        <v>Spieler 8</v>
      </c>
      <c r="D38" s="1" t="s">
        <v>1</v>
      </c>
      <c r="E38" s="15" t="str">
        <f>Eingabe!$G$13</f>
        <v>Spieler 18 / spielfrei</v>
      </c>
      <c r="F38" s="15"/>
      <c r="G38" s="1" t="s">
        <v>26</v>
      </c>
      <c r="H38" s="1" t="str">
        <f>IF($B$7="spielfrei"," ",":")</f>
        <v>:</v>
      </c>
      <c r="I38" s="5" t="str">
        <f aca="true" t="shared" si="13" ref="I38:I46">IF(G38&lt;=1,1-G38," ")</f>
        <v> </v>
      </c>
      <c r="J38" s="3"/>
      <c r="K38" s="15" t="str">
        <f>Eingabe!$C$12</f>
        <v>Spieler 7</v>
      </c>
      <c r="L38" s="1" t="s">
        <v>1</v>
      </c>
      <c r="M38" s="15" t="str">
        <f>Eingabe!$G$13</f>
        <v>Spieler 18 / spielfrei</v>
      </c>
      <c r="N38" s="15"/>
      <c r="O38" s="1" t="s">
        <v>26</v>
      </c>
      <c r="P38" s="1" t="str">
        <f>IF($B$7="spielfrei"," ",":")</f>
        <v>:</v>
      </c>
      <c r="Q38" s="5" t="str">
        <f aca="true" t="shared" si="14" ref="Q38:Q46">IF(O38&lt;=1,1-O38," ")</f>
        <v> </v>
      </c>
      <c r="R38" s="3"/>
      <c r="S38" s="15" t="str">
        <f>Eingabe!$C$11</f>
        <v>Spieler 6</v>
      </c>
      <c r="T38" s="1" t="s">
        <v>1</v>
      </c>
      <c r="U38" s="15" t="str">
        <f>Eingabe!$G$13</f>
        <v>Spieler 18 / spielfrei</v>
      </c>
      <c r="V38" s="15"/>
      <c r="W38" s="1" t="s">
        <v>26</v>
      </c>
      <c r="X38" s="1" t="str">
        <f>IF($B$7="spielfrei"," ",":")</f>
        <v>:</v>
      </c>
      <c r="Y38" s="5" t="str">
        <f aca="true" t="shared" si="15" ref="Y38:Y46">IF(W38&lt;=1,1-W38," ")</f>
        <v> </v>
      </c>
      <c r="Z38" s="3"/>
      <c r="AA38" s="15" t="str">
        <f>Eingabe!$C$10</f>
        <v>Spieler 5</v>
      </c>
      <c r="AB38" s="1" t="s">
        <v>1</v>
      </c>
      <c r="AC38" s="15" t="str">
        <f>Eingabe!$G$13</f>
        <v>Spieler 18 / spielfrei</v>
      </c>
      <c r="AD38" s="15"/>
      <c r="AE38" s="1" t="s">
        <v>26</v>
      </c>
      <c r="AF38" s="1" t="str">
        <f>IF($B$7="spielfrei"," ",":")</f>
        <v>:</v>
      </c>
      <c r="AG38" s="5" t="str">
        <f aca="true" t="shared" si="16" ref="AG38:AG46">IF(AE38&lt;=1,1-AE38," ")</f>
        <v> </v>
      </c>
      <c r="AH38" s="3"/>
      <c r="AI38" s="15" t="str">
        <f>Eingabe!$C$9</f>
        <v>Spieler 4</v>
      </c>
      <c r="AJ38" s="1" t="s">
        <v>1</v>
      </c>
      <c r="AK38" s="15" t="str">
        <f>Eingabe!$G$13</f>
        <v>Spieler 18 / spielfrei</v>
      </c>
      <c r="AL38" s="15"/>
      <c r="AM38" s="1" t="s">
        <v>26</v>
      </c>
      <c r="AN38" s="1" t="str">
        <f>IF($B$7="spielfrei"," ",":")</f>
        <v>:</v>
      </c>
      <c r="AO38" s="3" t="str">
        <f aca="true" t="shared" si="17" ref="AO38:AO46">IF(AM38&lt;=1,1-AM38," ")</f>
        <v> </v>
      </c>
      <c r="AP38" s="2"/>
      <c r="BK38" s="1">
        <f t="shared" si="0"/>
        <v>0</v>
      </c>
      <c r="BL38" s="1">
        <v>5</v>
      </c>
      <c r="BM38" s="1">
        <f t="shared" si="1"/>
        <v>0</v>
      </c>
      <c r="BN38" s="1">
        <v>4</v>
      </c>
      <c r="BO38" s="1">
        <v>33</v>
      </c>
    </row>
    <row r="39" spans="1:67" ht="12.75">
      <c r="A39" t="str">
        <f>IF(Eingabe!$G$13="spielfrei","Tisch 1 :","Tisch 2 :")</f>
        <v>Tisch 2 :</v>
      </c>
      <c r="C39" s="15" t="str">
        <f>Eingabe!$C$12</f>
        <v>Spieler 7</v>
      </c>
      <c r="D39" s="1" t="s">
        <v>1</v>
      </c>
      <c r="E39" s="15" t="str">
        <f>Eingabe!$C$14</f>
        <v>Spieler 9</v>
      </c>
      <c r="F39" s="15"/>
      <c r="G39" s="1" t="s">
        <v>26</v>
      </c>
      <c r="H39" s="1" t="s">
        <v>1</v>
      </c>
      <c r="I39" s="5" t="str">
        <f t="shared" si="13"/>
        <v> </v>
      </c>
      <c r="J39" s="3"/>
      <c r="K39" s="15" t="str">
        <f>Eingabe!$C$11</f>
        <v>Spieler 6</v>
      </c>
      <c r="L39" s="1" t="s">
        <v>1</v>
      </c>
      <c r="M39" s="15" t="str">
        <f>Eingabe!$C$13</f>
        <v>Spieler 8</v>
      </c>
      <c r="N39" s="15"/>
      <c r="O39" s="1" t="s">
        <v>26</v>
      </c>
      <c r="P39" s="1" t="s">
        <v>1</v>
      </c>
      <c r="Q39" s="5" t="str">
        <f t="shared" si="14"/>
        <v> </v>
      </c>
      <c r="R39" s="3"/>
      <c r="S39" s="15" t="str">
        <f>Eingabe!$C$10</f>
        <v>Spieler 5</v>
      </c>
      <c r="T39" s="1" t="s">
        <v>1</v>
      </c>
      <c r="U39" s="15" t="str">
        <f>Eingabe!$C$12</f>
        <v>Spieler 7</v>
      </c>
      <c r="V39" s="15"/>
      <c r="W39" s="1" t="s">
        <v>26</v>
      </c>
      <c r="X39" s="1" t="s">
        <v>1</v>
      </c>
      <c r="Y39" s="5" t="str">
        <f t="shared" si="15"/>
        <v> </v>
      </c>
      <c r="Z39" s="3"/>
      <c r="AA39" s="15" t="str">
        <f>Eingabe!$C$9</f>
        <v>Spieler 4</v>
      </c>
      <c r="AB39" s="1" t="s">
        <v>1</v>
      </c>
      <c r="AC39" s="15" t="str">
        <f>Eingabe!$C$11</f>
        <v>Spieler 6</v>
      </c>
      <c r="AD39" s="15"/>
      <c r="AE39" s="1" t="s">
        <v>26</v>
      </c>
      <c r="AF39" s="1" t="s">
        <v>1</v>
      </c>
      <c r="AG39" s="5" t="str">
        <f t="shared" si="16"/>
        <v> </v>
      </c>
      <c r="AH39" s="3"/>
      <c r="AI39" s="15" t="str">
        <f>Eingabe!$C$8</f>
        <v>Spieler 3</v>
      </c>
      <c r="AJ39" s="1" t="s">
        <v>1</v>
      </c>
      <c r="AK39" s="15" t="str">
        <f>Eingabe!$C$10</f>
        <v>Spieler 5</v>
      </c>
      <c r="AL39" s="15"/>
      <c r="AM39" s="1" t="s">
        <v>26</v>
      </c>
      <c r="AN39" s="1" t="s">
        <v>1</v>
      </c>
      <c r="AO39" s="3" t="str">
        <f t="shared" si="17"/>
        <v> </v>
      </c>
      <c r="AP39" s="2"/>
      <c r="BK39" s="1">
        <f t="shared" si="0"/>
        <v>0</v>
      </c>
      <c r="BL39" s="1">
        <v>5</v>
      </c>
      <c r="BM39" s="1">
        <f t="shared" si="1"/>
        <v>0</v>
      </c>
      <c r="BN39" s="1">
        <v>4</v>
      </c>
      <c r="BO39" s="1">
        <v>34</v>
      </c>
    </row>
    <row r="40" spans="1:67" ht="12.75">
      <c r="A40" t="str">
        <f>IF(Eingabe!$G$13="spielfrei","Tisch 2 :","Tisch 3 :")</f>
        <v>Tisch 3 :</v>
      </c>
      <c r="C40" s="15" t="str">
        <f>Eingabe!$C$11</f>
        <v>Spieler 6</v>
      </c>
      <c r="D40" s="1" t="s">
        <v>1</v>
      </c>
      <c r="E40" s="15" t="str">
        <f>Eingabe!$C$15</f>
        <v>Spieler 10</v>
      </c>
      <c r="F40" s="15"/>
      <c r="G40" s="1" t="s">
        <v>26</v>
      </c>
      <c r="H40" s="1" t="s">
        <v>1</v>
      </c>
      <c r="I40" s="5" t="str">
        <f t="shared" si="13"/>
        <v> </v>
      </c>
      <c r="J40" s="3"/>
      <c r="K40" s="15" t="str">
        <f>Eingabe!$C$10</f>
        <v>Spieler 5</v>
      </c>
      <c r="L40" s="1" t="s">
        <v>1</v>
      </c>
      <c r="M40" s="15" t="str">
        <f>Eingabe!$C$14</f>
        <v>Spieler 9</v>
      </c>
      <c r="N40" s="15"/>
      <c r="O40" s="1" t="s">
        <v>26</v>
      </c>
      <c r="P40" s="1" t="s">
        <v>1</v>
      </c>
      <c r="Q40" s="5" t="str">
        <f t="shared" si="14"/>
        <v> </v>
      </c>
      <c r="R40" s="3"/>
      <c r="S40" s="15" t="str">
        <f>Eingabe!$C$9</f>
        <v>Spieler 4</v>
      </c>
      <c r="T40" s="1" t="s">
        <v>1</v>
      </c>
      <c r="U40" s="15" t="str">
        <f>Eingabe!$C$13</f>
        <v>Spieler 8</v>
      </c>
      <c r="V40" s="15"/>
      <c r="W40" s="1" t="s">
        <v>26</v>
      </c>
      <c r="X40" s="1" t="s">
        <v>1</v>
      </c>
      <c r="Y40" s="5" t="str">
        <f t="shared" si="15"/>
        <v> </v>
      </c>
      <c r="Z40" s="3"/>
      <c r="AA40" s="15" t="str">
        <f>Eingabe!$C$8</f>
        <v>Spieler 3</v>
      </c>
      <c r="AB40" s="1" t="s">
        <v>1</v>
      </c>
      <c r="AC40" s="15" t="str">
        <f>Eingabe!$C$12</f>
        <v>Spieler 7</v>
      </c>
      <c r="AD40" s="15"/>
      <c r="AE40" s="1" t="s">
        <v>26</v>
      </c>
      <c r="AF40" s="1" t="s">
        <v>1</v>
      </c>
      <c r="AG40" s="5" t="str">
        <f t="shared" si="16"/>
        <v> </v>
      </c>
      <c r="AH40" s="3"/>
      <c r="AI40" s="15" t="str">
        <f>Eingabe!$C$7</f>
        <v>Spieler 2</v>
      </c>
      <c r="AJ40" s="1" t="s">
        <v>1</v>
      </c>
      <c r="AK40" s="15" t="str">
        <f>Eingabe!$C$11</f>
        <v>Spieler 6</v>
      </c>
      <c r="AL40" s="15"/>
      <c r="AM40" s="1" t="s">
        <v>26</v>
      </c>
      <c r="AN40" s="1" t="s">
        <v>1</v>
      </c>
      <c r="AO40" s="3" t="str">
        <f t="shared" si="17"/>
        <v> </v>
      </c>
      <c r="AP40" s="2"/>
      <c r="BK40" s="1">
        <f t="shared" si="0"/>
        <v>0</v>
      </c>
      <c r="BL40" s="1">
        <v>5</v>
      </c>
      <c r="BM40" s="1">
        <f t="shared" si="1"/>
        <v>0</v>
      </c>
      <c r="BN40" s="1">
        <v>4</v>
      </c>
      <c r="BO40" s="1">
        <v>35</v>
      </c>
    </row>
    <row r="41" spans="1:67" ht="12.75">
      <c r="A41" t="str">
        <f>IF(Eingabe!$G$13="spielfrei","Tisch 3 :","Tisch 4 :")</f>
        <v>Tisch 4 :</v>
      </c>
      <c r="C41" s="15" t="str">
        <f>Eingabe!$C$10</f>
        <v>Spieler 5</v>
      </c>
      <c r="D41" s="1" t="s">
        <v>1</v>
      </c>
      <c r="E41" s="15" t="str">
        <f>Eingabe!$G$6</f>
        <v>Spieler 11</v>
      </c>
      <c r="F41" s="15"/>
      <c r="G41" s="1" t="s">
        <v>26</v>
      </c>
      <c r="H41" s="1" t="s">
        <v>1</v>
      </c>
      <c r="I41" s="5" t="str">
        <f t="shared" si="13"/>
        <v> </v>
      </c>
      <c r="J41" s="3"/>
      <c r="K41" s="15" t="str">
        <f>Eingabe!$C$9</f>
        <v>Spieler 4</v>
      </c>
      <c r="L41" s="1" t="s">
        <v>1</v>
      </c>
      <c r="M41" s="15" t="str">
        <f>Eingabe!$C$15</f>
        <v>Spieler 10</v>
      </c>
      <c r="N41" s="15"/>
      <c r="O41" s="1" t="s">
        <v>26</v>
      </c>
      <c r="P41" s="1" t="s">
        <v>1</v>
      </c>
      <c r="Q41" s="5" t="str">
        <f t="shared" si="14"/>
        <v> </v>
      </c>
      <c r="R41" s="3"/>
      <c r="S41" s="15" t="str">
        <f>Eingabe!$C$8</f>
        <v>Spieler 3</v>
      </c>
      <c r="T41" s="1" t="s">
        <v>1</v>
      </c>
      <c r="U41" s="15" t="str">
        <f>Eingabe!$C$14</f>
        <v>Spieler 9</v>
      </c>
      <c r="V41" s="15"/>
      <c r="W41" s="1" t="s">
        <v>26</v>
      </c>
      <c r="X41" s="1" t="s">
        <v>1</v>
      </c>
      <c r="Y41" s="5" t="str">
        <f t="shared" si="15"/>
        <v> </v>
      </c>
      <c r="Z41" s="3"/>
      <c r="AA41" s="15" t="str">
        <f>Eingabe!$C$7</f>
        <v>Spieler 2</v>
      </c>
      <c r="AB41" s="1" t="s">
        <v>1</v>
      </c>
      <c r="AC41" s="15" t="str">
        <f>Eingabe!$C$13</f>
        <v>Spieler 8</v>
      </c>
      <c r="AD41" s="15"/>
      <c r="AE41" s="1" t="s">
        <v>26</v>
      </c>
      <c r="AF41" s="1" t="s">
        <v>1</v>
      </c>
      <c r="AG41" s="5" t="str">
        <f t="shared" si="16"/>
        <v> </v>
      </c>
      <c r="AH41" s="3"/>
      <c r="AI41" s="15" t="str">
        <f>Eingabe!$C$6</f>
        <v>Spieler 1</v>
      </c>
      <c r="AJ41" s="1" t="s">
        <v>1</v>
      </c>
      <c r="AK41" s="15" t="str">
        <f>Eingabe!$C$12</f>
        <v>Spieler 7</v>
      </c>
      <c r="AL41" s="15"/>
      <c r="AM41" s="1" t="s">
        <v>26</v>
      </c>
      <c r="AN41" s="1" t="s">
        <v>1</v>
      </c>
      <c r="AO41" s="3" t="str">
        <f t="shared" si="17"/>
        <v> </v>
      </c>
      <c r="AP41" s="2"/>
      <c r="BK41" s="1">
        <f t="shared" si="0"/>
        <v>0</v>
      </c>
      <c r="BL41" s="1">
        <v>5</v>
      </c>
      <c r="BM41" s="1">
        <f t="shared" si="1"/>
        <v>0</v>
      </c>
      <c r="BN41" s="1">
        <v>5</v>
      </c>
      <c r="BO41" s="1">
        <v>36</v>
      </c>
    </row>
    <row r="42" spans="1:67" ht="12.75">
      <c r="A42" t="str">
        <f>IF(Eingabe!$G$13="spielfrei","Tisch 4 :","Tisch 5 :")</f>
        <v>Tisch 5 :</v>
      </c>
      <c r="C42" s="15" t="str">
        <f>Eingabe!$C$9</f>
        <v>Spieler 4</v>
      </c>
      <c r="D42" s="1" t="s">
        <v>1</v>
      </c>
      <c r="E42" s="15" t="str">
        <f>Eingabe!$G$7</f>
        <v>Spieler 12</v>
      </c>
      <c r="F42" s="15"/>
      <c r="G42" s="1" t="s">
        <v>26</v>
      </c>
      <c r="H42" s="1" t="s">
        <v>1</v>
      </c>
      <c r="I42" s="5" t="str">
        <f t="shared" si="13"/>
        <v> </v>
      </c>
      <c r="J42" s="3"/>
      <c r="K42" s="15" t="str">
        <f>Eingabe!$C$8</f>
        <v>Spieler 3</v>
      </c>
      <c r="L42" s="1" t="s">
        <v>1</v>
      </c>
      <c r="M42" s="15" t="str">
        <f>Eingabe!$G$6</f>
        <v>Spieler 11</v>
      </c>
      <c r="N42" s="15"/>
      <c r="O42" s="1" t="s">
        <v>26</v>
      </c>
      <c r="P42" s="1" t="s">
        <v>1</v>
      </c>
      <c r="Q42" s="5" t="str">
        <f t="shared" si="14"/>
        <v> </v>
      </c>
      <c r="R42" s="3"/>
      <c r="S42" s="15" t="str">
        <f>Eingabe!$C$7</f>
        <v>Spieler 2</v>
      </c>
      <c r="T42" s="1" t="s">
        <v>1</v>
      </c>
      <c r="U42" s="15" t="str">
        <f>Eingabe!$C$15</f>
        <v>Spieler 10</v>
      </c>
      <c r="V42" s="15"/>
      <c r="W42" s="1" t="s">
        <v>26</v>
      </c>
      <c r="X42" s="1" t="s">
        <v>1</v>
      </c>
      <c r="Y42" s="5" t="str">
        <f t="shared" si="15"/>
        <v> </v>
      </c>
      <c r="Z42" s="3"/>
      <c r="AA42" s="15" t="str">
        <f>Eingabe!$C$6</f>
        <v>Spieler 1</v>
      </c>
      <c r="AB42" s="1" t="s">
        <v>1</v>
      </c>
      <c r="AC42" s="15" t="str">
        <f>Eingabe!$C$14</f>
        <v>Spieler 9</v>
      </c>
      <c r="AD42" s="15"/>
      <c r="AE42" s="1" t="s">
        <v>26</v>
      </c>
      <c r="AF42" s="1" t="s">
        <v>1</v>
      </c>
      <c r="AG42" s="5" t="str">
        <f t="shared" si="16"/>
        <v> </v>
      </c>
      <c r="AH42" s="3"/>
      <c r="AI42" s="15" t="str">
        <f>Eingabe!$G$12</f>
        <v>Spieler 17</v>
      </c>
      <c r="AJ42" s="1" t="s">
        <v>1</v>
      </c>
      <c r="AK42" s="15" t="str">
        <f>Eingabe!$C$13</f>
        <v>Spieler 8</v>
      </c>
      <c r="AL42" s="15"/>
      <c r="AM42" s="1" t="s">
        <v>26</v>
      </c>
      <c r="AN42" s="1" t="s">
        <v>1</v>
      </c>
      <c r="AO42" s="3" t="str">
        <f t="shared" si="17"/>
        <v> </v>
      </c>
      <c r="AP42" s="2"/>
      <c r="BK42" s="1">
        <f t="shared" si="0"/>
        <v>0</v>
      </c>
      <c r="BL42" s="1">
        <v>5</v>
      </c>
      <c r="BM42" s="1">
        <f t="shared" si="1"/>
        <v>0</v>
      </c>
      <c r="BN42" s="1">
        <v>5</v>
      </c>
      <c r="BO42" s="1">
        <v>37</v>
      </c>
    </row>
    <row r="43" spans="1:67" ht="12.75">
      <c r="A43" t="str">
        <f>IF(Eingabe!$G$13="spielfrei","Tisch 5 :","Tisch 6 :")</f>
        <v>Tisch 6 :</v>
      </c>
      <c r="C43" s="15" t="str">
        <f>Eingabe!$C$8</f>
        <v>Spieler 3</v>
      </c>
      <c r="D43" s="1" t="s">
        <v>1</v>
      </c>
      <c r="E43" s="15" t="str">
        <f>Eingabe!$G$8</f>
        <v>Spieler 13</v>
      </c>
      <c r="F43" s="15"/>
      <c r="G43" s="1" t="s">
        <v>26</v>
      </c>
      <c r="H43" s="1" t="s">
        <v>1</v>
      </c>
      <c r="I43" s="5" t="str">
        <f t="shared" si="13"/>
        <v> </v>
      </c>
      <c r="J43" s="3"/>
      <c r="K43" s="15" t="str">
        <f>Eingabe!$C$7</f>
        <v>Spieler 2</v>
      </c>
      <c r="L43" s="1" t="s">
        <v>1</v>
      </c>
      <c r="M43" s="15" t="str">
        <f>Eingabe!$G$7</f>
        <v>Spieler 12</v>
      </c>
      <c r="N43" s="15"/>
      <c r="O43" s="1" t="s">
        <v>26</v>
      </c>
      <c r="P43" s="1" t="s">
        <v>1</v>
      </c>
      <c r="Q43" s="5" t="str">
        <f t="shared" si="14"/>
        <v> </v>
      </c>
      <c r="R43" s="3"/>
      <c r="S43" s="15" t="str">
        <f>Eingabe!$C$6</f>
        <v>Spieler 1</v>
      </c>
      <c r="T43" s="1" t="s">
        <v>1</v>
      </c>
      <c r="U43" s="15" t="str">
        <f>Eingabe!$G$6</f>
        <v>Spieler 11</v>
      </c>
      <c r="V43" s="15"/>
      <c r="W43" s="1" t="s">
        <v>26</v>
      </c>
      <c r="X43" s="1" t="s">
        <v>1</v>
      </c>
      <c r="Y43" s="5" t="str">
        <f t="shared" si="15"/>
        <v> </v>
      </c>
      <c r="Z43" s="3"/>
      <c r="AA43" s="15" t="str">
        <f>Eingabe!$G$12</f>
        <v>Spieler 17</v>
      </c>
      <c r="AB43" s="1" t="s">
        <v>1</v>
      </c>
      <c r="AC43" s="15" t="str">
        <f>Eingabe!$C$15</f>
        <v>Spieler 10</v>
      </c>
      <c r="AD43" s="15"/>
      <c r="AE43" s="1" t="s">
        <v>26</v>
      </c>
      <c r="AF43" s="1" t="s">
        <v>1</v>
      </c>
      <c r="AG43" s="5" t="str">
        <f t="shared" si="16"/>
        <v> </v>
      </c>
      <c r="AH43" s="3"/>
      <c r="AI43" s="15" t="str">
        <f>Eingabe!$G$11</f>
        <v>Spieler 16</v>
      </c>
      <c r="AJ43" s="1" t="s">
        <v>1</v>
      </c>
      <c r="AK43" s="15" t="str">
        <f>Eingabe!$C$14</f>
        <v>Spieler 9</v>
      </c>
      <c r="AL43" s="15"/>
      <c r="AM43" s="1" t="s">
        <v>26</v>
      </c>
      <c r="AN43" s="1" t="s">
        <v>1</v>
      </c>
      <c r="AO43" s="3" t="str">
        <f t="shared" si="17"/>
        <v> </v>
      </c>
      <c r="AP43" s="2"/>
      <c r="BK43" s="1">
        <f t="shared" si="0"/>
        <v>0</v>
      </c>
      <c r="BL43" s="1">
        <v>5</v>
      </c>
      <c r="BM43" s="1">
        <f t="shared" si="1"/>
        <v>0</v>
      </c>
      <c r="BN43" s="1">
        <v>5</v>
      </c>
      <c r="BO43" s="1">
        <v>38</v>
      </c>
    </row>
    <row r="44" spans="1:67" ht="12.75">
      <c r="A44" t="str">
        <f>IF(Eingabe!$G$13="spielfrei","Tisch 6 :","Tisch 7 :")</f>
        <v>Tisch 7 :</v>
      </c>
      <c r="C44" s="15" t="str">
        <f>Eingabe!$C$7</f>
        <v>Spieler 2</v>
      </c>
      <c r="D44" s="1" t="s">
        <v>1</v>
      </c>
      <c r="E44" s="15" t="str">
        <f>Eingabe!$G$9</f>
        <v>Spieler 14</v>
      </c>
      <c r="F44" s="15"/>
      <c r="G44" s="1" t="s">
        <v>26</v>
      </c>
      <c r="H44" s="1" t="s">
        <v>1</v>
      </c>
      <c r="I44" s="5" t="str">
        <f t="shared" si="13"/>
        <v> </v>
      </c>
      <c r="J44" s="3"/>
      <c r="K44" s="15" t="str">
        <f>Eingabe!$C$6</f>
        <v>Spieler 1</v>
      </c>
      <c r="L44" s="1" t="s">
        <v>1</v>
      </c>
      <c r="M44" s="15" t="str">
        <f>Eingabe!$G$8</f>
        <v>Spieler 13</v>
      </c>
      <c r="N44" s="15"/>
      <c r="O44" s="1" t="s">
        <v>26</v>
      </c>
      <c r="P44" s="1" t="s">
        <v>1</v>
      </c>
      <c r="Q44" s="5" t="str">
        <f t="shared" si="14"/>
        <v> </v>
      </c>
      <c r="R44" s="3"/>
      <c r="S44" s="15" t="str">
        <f>Eingabe!$G$12</f>
        <v>Spieler 17</v>
      </c>
      <c r="T44" s="1" t="s">
        <v>1</v>
      </c>
      <c r="U44" s="15" t="str">
        <f>Eingabe!$G$7</f>
        <v>Spieler 12</v>
      </c>
      <c r="V44" s="15"/>
      <c r="W44" s="1" t="s">
        <v>26</v>
      </c>
      <c r="X44" s="1" t="s">
        <v>1</v>
      </c>
      <c r="Y44" s="5" t="str">
        <f t="shared" si="15"/>
        <v> </v>
      </c>
      <c r="Z44" s="3"/>
      <c r="AA44" s="15" t="str">
        <f>Eingabe!$G$11</f>
        <v>Spieler 16</v>
      </c>
      <c r="AB44" s="1" t="s">
        <v>1</v>
      </c>
      <c r="AC44" s="15" t="str">
        <f>Eingabe!$G$6</f>
        <v>Spieler 11</v>
      </c>
      <c r="AD44" s="15"/>
      <c r="AE44" s="1" t="s">
        <v>26</v>
      </c>
      <c r="AF44" s="1" t="s">
        <v>1</v>
      </c>
      <c r="AG44" s="5" t="str">
        <f t="shared" si="16"/>
        <v> </v>
      </c>
      <c r="AH44" s="3"/>
      <c r="AI44" s="15" t="str">
        <f>Eingabe!$G$10</f>
        <v>Spieler 15</v>
      </c>
      <c r="AJ44" s="1" t="s">
        <v>1</v>
      </c>
      <c r="AK44" s="15" t="str">
        <f>Eingabe!$C$15</f>
        <v>Spieler 10</v>
      </c>
      <c r="AL44" s="15"/>
      <c r="AM44" s="1" t="s">
        <v>26</v>
      </c>
      <c r="AN44" s="1" t="s">
        <v>1</v>
      </c>
      <c r="AO44" s="3" t="str">
        <f t="shared" si="17"/>
        <v> </v>
      </c>
      <c r="AP44" s="2"/>
      <c r="BK44" s="1">
        <f t="shared" si="0"/>
        <v>0</v>
      </c>
      <c r="BL44" s="1">
        <v>5</v>
      </c>
      <c r="BM44" s="1">
        <f t="shared" si="1"/>
        <v>0</v>
      </c>
      <c r="BN44" s="1">
        <v>5</v>
      </c>
      <c r="BO44" s="1">
        <v>39</v>
      </c>
    </row>
    <row r="45" spans="1:67" ht="12.75">
      <c r="A45" t="str">
        <f>IF(Eingabe!$G$13="spielfrei","Tisch 7 :","Tisch 8 :")</f>
        <v>Tisch 8 :</v>
      </c>
      <c r="C45" s="15" t="str">
        <f>Eingabe!$C$6</f>
        <v>Spieler 1</v>
      </c>
      <c r="D45" s="1" t="s">
        <v>1</v>
      </c>
      <c r="E45" s="15" t="str">
        <f>Eingabe!$G$10</f>
        <v>Spieler 15</v>
      </c>
      <c r="F45" s="15"/>
      <c r="G45" s="1" t="s">
        <v>26</v>
      </c>
      <c r="H45" s="1" t="s">
        <v>1</v>
      </c>
      <c r="I45" s="5" t="str">
        <f t="shared" si="13"/>
        <v> </v>
      </c>
      <c r="J45" s="3"/>
      <c r="K45" s="15" t="str">
        <f>Eingabe!$G$12</f>
        <v>Spieler 17</v>
      </c>
      <c r="L45" s="1" t="s">
        <v>1</v>
      </c>
      <c r="M45" s="15" t="str">
        <f>Eingabe!$G$9</f>
        <v>Spieler 14</v>
      </c>
      <c r="N45" s="15"/>
      <c r="O45" s="1" t="s">
        <v>26</v>
      </c>
      <c r="P45" s="1" t="s">
        <v>1</v>
      </c>
      <c r="Q45" s="5" t="str">
        <f t="shared" si="14"/>
        <v> </v>
      </c>
      <c r="R45" s="3"/>
      <c r="S45" s="15" t="str">
        <f>Eingabe!$G$11</f>
        <v>Spieler 16</v>
      </c>
      <c r="T45" s="1" t="s">
        <v>1</v>
      </c>
      <c r="U45" s="15" t="str">
        <f>Eingabe!$G$8</f>
        <v>Spieler 13</v>
      </c>
      <c r="V45" s="15"/>
      <c r="W45" s="1" t="s">
        <v>26</v>
      </c>
      <c r="X45" s="1" t="s">
        <v>1</v>
      </c>
      <c r="Y45" s="5" t="str">
        <f t="shared" si="15"/>
        <v> </v>
      </c>
      <c r="Z45" s="3"/>
      <c r="AA45" s="15" t="str">
        <f>Eingabe!$G$10</f>
        <v>Spieler 15</v>
      </c>
      <c r="AB45" s="1" t="s">
        <v>1</v>
      </c>
      <c r="AC45" s="15" t="str">
        <f>Eingabe!$G$7</f>
        <v>Spieler 12</v>
      </c>
      <c r="AD45" s="15"/>
      <c r="AE45" s="1" t="s">
        <v>26</v>
      </c>
      <c r="AF45" s="1" t="s">
        <v>1</v>
      </c>
      <c r="AG45" s="5" t="str">
        <f t="shared" si="16"/>
        <v> </v>
      </c>
      <c r="AH45" s="3"/>
      <c r="AI45" s="15" t="str">
        <f>Eingabe!$G$9</f>
        <v>Spieler 14</v>
      </c>
      <c r="AJ45" s="1" t="s">
        <v>1</v>
      </c>
      <c r="AK45" s="15" t="str">
        <f>Eingabe!$G$6</f>
        <v>Spieler 11</v>
      </c>
      <c r="AL45" s="15"/>
      <c r="AM45" s="1" t="s">
        <v>26</v>
      </c>
      <c r="AN45" s="1" t="s">
        <v>1</v>
      </c>
      <c r="AO45" s="3" t="str">
        <f t="shared" si="17"/>
        <v> </v>
      </c>
      <c r="AP45" s="2"/>
      <c r="BK45" s="1">
        <f t="shared" si="0"/>
        <v>0</v>
      </c>
      <c r="BL45" s="1">
        <v>6</v>
      </c>
      <c r="BM45" s="1">
        <f t="shared" si="1"/>
        <v>0</v>
      </c>
      <c r="BN45" s="1">
        <v>5</v>
      </c>
      <c r="BO45" s="1">
        <v>40</v>
      </c>
    </row>
    <row r="46" spans="1:67" ht="12.75">
      <c r="A46" t="str">
        <f>IF(Eingabe!$G$13="spielfrei","Tisch 8 :","Tisch 9 :")</f>
        <v>Tisch 9 :</v>
      </c>
      <c r="C46" s="15" t="str">
        <f>Eingabe!$G$12</f>
        <v>Spieler 17</v>
      </c>
      <c r="D46" s="1" t="s">
        <v>1</v>
      </c>
      <c r="E46" s="15" t="str">
        <f>Eingabe!$G$11</f>
        <v>Spieler 16</v>
      </c>
      <c r="F46" s="15"/>
      <c r="G46" s="1" t="s">
        <v>26</v>
      </c>
      <c r="H46" s="1" t="s">
        <v>1</v>
      </c>
      <c r="I46" s="5" t="str">
        <f t="shared" si="13"/>
        <v> </v>
      </c>
      <c r="J46" s="3"/>
      <c r="K46" s="15" t="str">
        <f>Eingabe!$G$11</f>
        <v>Spieler 16</v>
      </c>
      <c r="L46" s="1" t="s">
        <v>1</v>
      </c>
      <c r="M46" s="15" t="str">
        <f>Eingabe!$G$10</f>
        <v>Spieler 15</v>
      </c>
      <c r="N46" s="15"/>
      <c r="O46" s="1" t="s">
        <v>26</v>
      </c>
      <c r="P46" s="1" t="s">
        <v>1</v>
      </c>
      <c r="Q46" s="5" t="str">
        <f t="shared" si="14"/>
        <v> </v>
      </c>
      <c r="R46" s="3"/>
      <c r="S46" s="15" t="str">
        <f>Eingabe!$G$10</f>
        <v>Spieler 15</v>
      </c>
      <c r="T46" s="1" t="s">
        <v>1</v>
      </c>
      <c r="U46" s="15" t="str">
        <f>Eingabe!$G$9</f>
        <v>Spieler 14</v>
      </c>
      <c r="V46" s="15"/>
      <c r="W46" s="1" t="s">
        <v>26</v>
      </c>
      <c r="X46" s="1" t="s">
        <v>1</v>
      </c>
      <c r="Y46" s="5" t="str">
        <f t="shared" si="15"/>
        <v> </v>
      </c>
      <c r="Z46" s="3"/>
      <c r="AA46" s="15" t="str">
        <f>Eingabe!$G$9</f>
        <v>Spieler 14</v>
      </c>
      <c r="AB46" s="1" t="s">
        <v>1</v>
      </c>
      <c r="AC46" s="15" t="str">
        <f>Eingabe!$G$8</f>
        <v>Spieler 13</v>
      </c>
      <c r="AD46" s="15"/>
      <c r="AE46" s="1" t="s">
        <v>26</v>
      </c>
      <c r="AF46" s="1" t="s">
        <v>1</v>
      </c>
      <c r="AG46" s="5" t="str">
        <f t="shared" si="16"/>
        <v> </v>
      </c>
      <c r="AH46" s="3"/>
      <c r="AI46" s="15" t="str">
        <f>Eingabe!$G$8</f>
        <v>Spieler 13</v>
      </c>
      <c r="AJ46" s="1" t="s">
        <v>1</v>
      </c>
      <c r="AK46" s="15" t="str">
        <f>Eingabe!$G$7</f>
        <v>Spieler 12</v>
      </c>
      <c r="AL46" s="15"/>
      <c r="AM46" s="1" t="s">
        <v>26</v>
      </c>
      <c r="AN46" s="1" t="s">
        <v>1</v>
      </c>
      <c r="AO46" s="3" t="str">
        <f t="shared" si="17"/>
        <v> </v>
      </c>
      <c r="AP46" s="2"/>
      <c r="BK46" s="1">
        <f t="shared" si="0"/>
        <v>0</v>
      </c>
      <c r="BL46" s="1">
        <v>6</v>
      </c>
      <c r="BM46" s="1">
        <f t="shared" si="1"/>
        <v>0</v>
      </c>
      <c r="BN46" s="1">
        <v>5</v>
      </c>
      <c r="BO46" s="1">
        <v>41</v>
      </c>
    </row>
    <row r="47" spans="5:67" ht="12.75">
      <c r="E47" s="15"/>
      <c r="F47" s="15"/>
      <c r="G47" t="s">
        <v>26</v>
      </c>
      <c r="M47" s="15"/>
      <c r="N47" s="15"/>
      <c r="O47" t="s">
        <v>26</v>
      </c>
      <c r="U47" s="15"/>
      <c r="V47" s="15"/>
      <c r="W47" t="s">
        <v>26</v>
      </c>
      <c r="AC47" s="15"/>
      <c r="AD47" s="15"/>
      <c r="AE47" t="s">
        <v>26</v>
      </c>
      <c r="AK47" s="15"/>
      <c r="AL47" s="15"/>
      <c r="AM47" t="s">
        <v>26</v>
      </c>
      <c r="AO47" s="2"/>
      <c r="AP47" s="2"/>
      <c r="BK47" s="1">
        <f t="shared" si="0"/>
        <v>0</v>
      </c>
      <c r="BL47" s="1">
        <v>6</v>
      </c>
      <c r="BM47" s="1">
        <f t="shared" si="1"/>
        <v>0</v>
      </c>
      <c r="BN47" s="1">
        <v>5</v>
      </c>
      <c r="BO47" s="1">
        <v>42</v>
      </c>
    </row>
    <row r="48" spans="5:67" ht="12.75">
      <c r="E48" s="15"/>
      <c r="F48" s="15"/>
      <c r="M48" s="15"/>
      <c r="N48" s="15"/>
      <c r="U48" s="15"/>
      <c r="V48" s="15"/>
      <c r="AC48" s="15"/>
      <c r="AD48" s="15"/>
      <c r="AK48" s="15"/>
      <c r="AL48" s="15"/>
      <c r="AO48" s="2"/>
      <c r="AP48" s="2"/>
      <c r="BK48" s="1">
        <f t="shared" si="0"/>
        <v>0</v>
      </c>
      <c r="BL48" s="1">
        <v>6</v>
      </c>
      <c r="BM48" s="1">
        <f t="shared" si="1"/>
        <v>0</v>
      </c>
      <c r="BN48" s="1">
        <v>5</v>
      </c>
      <c r="BO48" s="1">
        <v>43</v>
      </c>
    </row>
    <row r="49" spans="4:67" ht="12.75">
      <c r="D49" s="11" t="s">
        <v>37</v>
      </c>
      <c r="E49" s="15"/>
      <c r="F49" s="15"/>
      <c r="L49" s="11" t="s">
        <v>38</v>
      </c>
      <c r="M49" s="15"/>
      <c r="N49" s="15"/>
      <c r="S49" s="11"/>
      <c r="U49" s="15"/>
      <c r="V49" s="15"/>
      <c r="X49" s="2"/>
      <c r="Y49" s="2"/>
      <c r="Z49" s="2"/>
      <c r="AA49" s="75"/>
      <c r="AB49" s="2"/>
      <c r="AC49" s="71"/>
      <c r="AD49" s="71"/>
      <c r="AE49" s="2"/>
      <c r="AF49" s="2"/>
      <c r="AG49" s="2"/>
      <c r="AH49" s="2"/>
      <c r="AI49" s="2"/>
      <c r="AK49" s="15"/>
      <c r="AL49" s="15"/>
      <c r="AO49" s="2"/>
      <c r="AP49" s="2"/>
      <c r="BK49" s="1">
        <f t="shared" si="0"/>
        <v>0</v>
      </c>
      <c r="BL49" s="1">
        <v>6</v>
      </c>
      <c r="BM49" s="1">
        <f t="shared" si="1"/>
        <v>0</v>
      </c>
      <c r="BN49" s="1">
        <v>5</v>
      </c>
      <c r="BO49" s="1">
        <v>44</v>
      </c>
    </row>
    <row r="50" spans="3:67" ht="6" customHeight="1">
      <c r="C50" s="11"/>
      <c r="E50" s="15"/>
      <c r="F50" s="15"/>
      <c r="M50" s="15"/>
      <c r="N50" s="15"/>
      <c r="U50" s="15"/>
      <c r="V50" s="15"/>
      <c r="X50" s="2"/>
      <c r="Y50" s="2"/>
      <c r="Z50" s="2"/>
      <c r="AA50" s="2"/>
      <c r="AB50" s="2"/>
      <c r="AC50" s="71"/>
      <c r="AD50" s="71"/>
      <c r="AE50" s="2"/>
      <c r="AF50" s="2"/>
      <c r="AG50" s="2"/>
      <c r="AH50" s="2"/>
      <c r="AI50" s="2"/>
      <c r="AK50" s="15"/>
      <c r="AL50" s="15"/>
      <c r="AO50" s="2"/>
      <c r="AP50" s="2"/>
      <c r="BK50" s="1">
        <f t="shared" si="0"/>
        <v>0</v>
      </c>
      <c r="BL50" s="1">
        <v>6</v>
      </c>
      <c r="BM50" s="1">
        <f t="shared" si="1"/>
        <v>0</v>
      </c>
      <c r="BN50" s="1">
        <v>6</v>
      </c>
      <c r="BO50" s="1">
        <v>45</v>
      </c>
    </row>
    <row r="51" spans="1:67" ht="12.75">
      <c r="A51" t="str">
        <f>IF(Eingabe!$G$13="spielfrei","","Tisch 1 :")</f>
        <v>Tisch 1 :</v>
      </c>
      <c r="C51" s="15" t="str">
        <f>Eingabe!$C$8</f>
        <v>Spieler 3</v>
      </c>
      <c r="D51" s="1" t="s">
        <v>1</v>
      </c>
      <c r="E51" s="15" t="str">
        <f>Eingabe!$G$13</f>
        <v>Spieler 18 / spielfrei</v>
      </c>
      <c r="F51" s="15"/>
      <c r="G51" s="1" t="s">
        <v>26</v>
      </c>
      <c r="H51" s="1" t="str">
        <f>IF($B$7="spielfrei"," ",":")</f>
        <v>:</v>
      </c>
      <c r="I51" s="5" t="str">
        <f aca="true" t="shared" si="18" ref="I51:I59">IF(G51&lt;=1,1-G51," ")</f>
        <v> </v>
      </c>
      <c r="J51" s="3"/>
      <c r="K51" s="15" t="str">
        <f>Eingabe!$C$7</f>
        <v>Spieler 2</v>
      </c>
      <c r="L51" s="1" t="s">
        <v>1</v>
      </c>
      <c r="M51" s="15" t="str">
        <f>Eingabe!$G$13</f>
        <v>Spieler 18 / spielfrei</v>
      </c>
      <c r="N51" s="15"/>
      <c r="O51" s="1" t="s">
        <v>26</v>
      </c>
      <c r="P51" s="1" t="str">
        <f>IF($B$7="spielfrei"," ",":")</f>
        <v>:</v>
      </c>
      <c r="Q51" s="5" t="str">
        <f aca="true" t="shared" si="19" ref="Q51:Q59">IF(O51&lt;=1,1-O51," ")</f>
        <v> </v>
      </c>
      <c r="R51" s="3"/>
      <c r="S51" s="14"/>
      <c r="T51" s="1"/>
      <c r="U51" s="15"/>
      <c r="V51" s="15"/>
      <c r="W51" s="1" t="s">
        <v>26</v>
      </c>
      <c r="X51" s="3"/>
      <c r="Y51" s="3"/>
      <c r="Z51" s="3"/>
      <c r="AA51" s="76"/>
      <c r="AB51" s="3"/>
      <c r="AC51" s="71"/>
      <c r="AD51" s="71"/>
      <c r="AE51" s="3" t="s">
        <v>26</v>
      </c>
      <c r="AF51" s="3"/>
      <c r="AG51" s="3"/>
      <c r="AH51" s="3"/>
      <c r="AI51" s="2"/>
      <c r="AK51" s="15"/>
      <c r="AL51" s="15"/>
      <c r="AM51" s="1" t="s">
        <v>26</v>
      </c>
      <c r="AN51" s="1"/>
      <c r="AO51" s="2"/>
      <c r="AP51" s="2"/>
      <c r="BK51" s="1">
        <f t="shared" si="0"/>
        <v>0</v>
      </c>
      <c r="BL51" s="1">
        <v>6</v>
      </c>
      <c r="BM51" s="1">
        <f t="shared" si="1"/>
        <v>0</v>
      </c>
      <c r="BN51" s="1">
        <v>6</v>
      </c>
      <c r="BO51" s="1">
        <v>46</v>
      </c>
    </row>
    <row r="52" spans="1:67" ht="12.75">
      <c r="A52" t="str">
        <f>IF(Eingabe!$G$13="spielfrei","Tisch 1 :","Tisch 2 :")</f>
        <v>Tisch 2 :</v>
      </c>
      <c r="C52" s="15" t="str">
        <f>Eingabe!$C$7</f>
        <v>Spieler 2</v>
      </c>
      <c r="D52" s="1" t="s">
        <v>1</v>
      </c>
      <c r="E52" s="15" t="str">
        <f>Eingabe!$C$9</f>
        <v>Spieler 4</v>
      </c>
      <c r="F52" s="15"/>
      <c r="G52" s="1" t="s">
        <v>26</v>
      </c>
      <c r="H52" s="1" t="s">
        <v>1</v>
      </c>
      <c r="I52" s="5" t="str">
        <f t="shared" si="18"/>
        <v> </v>
      </c>
      <c r="J52" s="3"/>
      <c r="K52" s="15" t="str">
        <f>Eingabe!$C$6</f>
        <v>Spieler 1</v>
      </c>
      <c r="L52" s="1" t="s">
        <v>1</v>
      </c>
      <c r="M52" s="15" t="str">
        <f>Eingabe!$C$8</f>
        <v>Spieler 3</v>
      </c>
      <c r="N52" s="15"/>
      <c r="O52" s="1" t="s">
        <v>26</v>
      </c>
      <c r="P52" s="1" t="s">
        <v>1</v>
      </c>
      <c r="Q52" s="5" t="str">
        <f t="shared" si="19"/>
        <v> </v>
      </c>
      <c r="R52" s="3"/>
      <c r="S52" s="14"/>
      <c r="T52" s="1"/>
      <c r="U52" s="15"/>
      <c r="V52" s="15"/>
      <c r="W52" s="1" t="s">
        <v>26</v>
      </c>
      <c r="X52" s="3"/>
      <c r="Y52" s="3"/>
      <c r="Z52" s="3"/>
      <c r="AA52" s="76"/>
      <c r="AB52" s="3"/>
      <c r="AC52" s="71"/>
      <c r="AD52" s="71"/>
      <c r="AE52" s="3" t="s">
        <v>26</v>
      </c>
      <c r="AF52" s="3"/>
      <c r="AG52" s="3"/>
      <c r="AH52" s="3"/>
      <c r="AI52" s="2"/>
      <c r="AK52" s="15"/>
      <c r="AL52" s="15"/>
      <c r="AM52" s="1" t="s">
        <v>26</v>
      </c>
      <c r="AN52" s="1"/>
      <c r="AO52" s="2"/>
      <c r="AP52" s="2"/>
      <c r="BK52" s="1">
        <f t="shared" si="0"/>
        <v>0</v>
      </c>
      <c r="BL52" s="1">
        <v>6</v>
      </c>
      <c r="BM52" s="1">
        <f t="shared" si="1"/>
        <v>0</v>
      </c>
      <c r="BN52" s="1">
        <v>6</v>
      </c>
      <c r="BO52" s="1">
        <v>47</v>
      </c>
    </row>
    <row r="53" spans="1:67" ht="12.75">
      <c r="A53" t="str">
        <f>IF(Eingabe!$G$13="spielfrei","Tisch 2 :","Tisch 3 :")</f>
        <v>Tisch 3 :</v>
      </c>
      <c r="C53" s="15" t="str">
        <f>Eingabe!$C$6</f>
        <v>Spieler 1</v>
      </c>
      <c r="D53" s="1" t="s">
        <v>1</v>
      </c>
      <c r="E53" s="15" t="str">
        <f>Eingabe!$C$10</f>
        <v>Spieler 5</v>
      </c>
      <c r="F53" s="15"/>
      <c r="G53" s="1" t="s">
        <v>26</v>
      </c>
      <c r="H53" s="1" t="s">
        <v>1</v>
      </c>
      <c r="I53" s="5" t="str">
        <f t="shared" si="18"/>
        <v> </v>
      </c>
      <c r="J53" s="3"/>
      <c r="K53" s="15" t="str">
        <f>Eingabe!$G$12</f>
        <v>Spieler 17</v>
      </c>
      <c r="L53" s="1" t="s">
        <v>1</v>
      </c>
      <c r="M53" s="15" t="str">
        <f>Eingabe!$C$9</f>
        <v>Spieler 4</v>
      </c>
      <c r="N53" s="15"/>
      <c r="O53" s="1" t="s">
        <v>26</v>
      </c>
      <c r="P53" s="1" t="s">
        <v>1</v>
      </c>
      <c r="Q53" s="5" t="str">
        <f t="shared" si="19"/>
        <v> </v>
      </c>
      <c r="R53" s="3"/>
      <c r="S53" s="14"/>
      <c r="T53" s="1"/>
      <c r="U53" s="15"/>
      <c r="V53" s="15"/>
      <c r="W53" s="1" t="s">
        <v>26</v>
      </c>
      <c r="X53" s="3"/>
      <c r="Y53" s="3"/>
      <c r="Z53" s="3"/>
      <c r="AA53" s="76"/>
      <c r="AB53" s="3"/>
      <c r="AC53" s="71"/>
      <c r="AD53" s="71"/>
      <c r="AE53" s="3" t="s">
        <v>26</v>
      </c>
      <c r="AF53" s="3"/>
      <c r="AG53" s="3"/>
      <c r="AH53" s="3"/>
      <c r="AI53" s="2"/>
      <c r="AK53" s="15"/>
      <c r="AL53" s="15"/>
      <c r="AM53" s="1" t="s">
        <v>26</v>
      </c>
      <c r="AN53" s="1"/>
      <c r="AO53" s="2"/>
      <c r="AP53" s="2"/>
      <c r="BK53" s="1">
        <f t="shared" si="0"/>
        <v>0</v>
      </c>
      <c r="BL53" s="1">
        <v>7</v>
      </c>
      <c r="BM53" s="1">
        <f t="shared" si="1"/>
        <v>0</v>
      </c>
      <c r="BN53" s="1">
        <v>6</v>
      </c>
      <c r="BO53" s="1">
        <v>48</v>
      </c>
    </row>
    <row r="54" spans="1:67" ht="12.75">
      <c r="A54" t="str">
        <f>IF(Eingabe!$G$13="spielfrei","Tisch 3 :","Tisch 4 :")</f>
        <v>Tisch 4 :</v>
      </c>
      <c r="C54" s="15" t="str">
        <f>Eingabe!$G$12</f>
        <v>Spieler 17</v>
      </c>
      <c r="D54" s="1" t="s">
        <v>1</v>
      </c>
      <c r="E54" s="15" t="str">
        <f>Eingabe!$C$11</f>
        <v>Spieler 6</v>
      </c>
      <c r="F54" s="15"/>
      <c r="G54" s="1" t="s">
        <v>26</v>
      </c>
      <c r="H54" s="1" t="s">
        <v>1</v>
      </c>
      <c r="I54" s="5" t="str">
        <f t="shared" si="18"/>
        <v> </v>
      </c>
      <c r="J54" s="3"/>
      <c r="K54" s="15" t="str">
        <f>Eingabe!$G$11</f>
        <v>Spieler 16</v>
      </c>
      <c r="L54" s="1" t="s">
        <v>1</v>
      </c>
      <c r="M54" s="15" t="str">
        <f>Eingabe!$C$10</f>
        <v>Spieler 5</v>
      </c>
      <c r="N54" s="15"/>
      <c r="O54" s="1" t="s">
        <v>26</v>
      </c>
      <c r="P54" s="1" t="s">
        <v>1</v>
      </c>
      <c r="Q54" s="5" t="str">
        <f t="shared" si="19"/>
        <v> </v>
      </c>
      <c r="R54" s="3"/>
      <c r="S54" s="14"/>
      <c r="T54" s="1"/>
      <c r="U54" s="15"/>
      <c r="V54" s="15"/>
      <c r="W54" s="1" t="s">
        <v>26</v>
      </c>
      <c r="X54" s="3"/>
      <c r="Y54" s="3"/>
      <c r="Z54" s="3"/>
      <c r="AA54" s="76"/>
      <c r="AB54" s="3"/>
      <c r="AC54" s="71"/>
      <c r="AD54" s="71"/>
      <c r="AE54" s="3" t="s">
        <v>26</v>
      </c>
      <c r="AF54" s="3"/>
      <c r="AG54" s="3"/>
      <c r="AH54" s="3"/>
      <c r="AI54" s="2"/>
      <c r="AK54" s="15"/>
      <c r="AL54" s="15"/>
      <c r="AM54" s="1" t="s">
        <v>26</v>
      </c>
      <c r="AN54" s="1"/>
      <c r="AO54" s="2"/>
      <c r="AP54" s="2"/>
      <c r="BK54" s="1">
        <f t="shared" si="0"/>
        <v>0</v>
      </c>
      <c r="BL54" s="1">
        <v>7</v>
      </c>
      <c r="BM54" s="1">
        <f t="shared" si="1"/>
        <v>0</v>
      </c>
      <c r="BN54" s="1">
        <v>6</v>
      </c>
      <c r="BO54" s="1">
        <v>49</v>
      </c>
    </row>
    <row r="55" spans="1:67" ht="12.75">
      <c r="A55" t="str">
        <f>IF(Eingabe!$G$13="spielfrei","Tisch 4 :","Tisch 5 :")</f>
        <v>Tisch 5 :</v>
      </c>
      <c r="C55" s="15" t="str">
        <f>Eingabe!$G$11</f>
        <v>Spieler 16</v>
      </c>
      <c r="D55" s="1" t="s">
        <v>1</v>
      </c>
      <c r="E55" s="15" t="str">
        <f>Eingabe!$C$12</f>
        <v>Spieler 7</v>
      </c>
      <c r="F55" s="15"/>
      <c r="G55" s="1" t="s">
        <v>26</v>
      </c>
      <c r="H55" s="1" t="s">
        <v>1</v>
      </c>
      <c r="I55" s="5" t="str">
        <f t="shared" si="18"/>
        <v> </v>
      </c>
      <c r="J55" s="3"/>
      <c r="K55" s="15" t="str">
        <f>Eingabe!$G$10</f>
        <v>Spieler 15</v>
      </c>
      <c r="L55" s="1" t="s">
        <v>1</v>
      </c>
      <c r="M55" s="15" t="str">
        <f>Eingabe!$C$11</f>
        <v>Spieler 6</v>
      </c>
      <c r="N55" s="15"/>
      <c r="O55" s="1" t="s">
        <v>26</v>
      </c>
      <c r="P55" s="1" t="s">
        <v>1</v>
      </c>
      <c r="Q55" s="5" t="str">
        <f t="shared" si="19"/>
        <v> </v>
      </c>
      <c r="R55" s="3"/>
      <c r="S55" s="14"/>
      <c r="T55" s="1"/>
      <c r="U55" s="15"/>
      <c r="V55" s="15"/>
      <c r="W55" s="1" t="s">
        <v>26</v>
      </c>
      <c r="X55" s="3"/>
      <c r="Y55" s="3"/>
      <c r="Z55" s="3"/>
      <c r="AA55" s="76"/>
      <c r="AB55" s="3"/>
      <c r="AC55" s="71"/>
      <c r="AD55" s="71"/>
      <c r="AE55" s="3" t="s">
        <v>26</v>
      </c>
      <c r="AF55" s="3"/>
      <c r="AG55" s="3"/>
      <c r="AH55" s="3"/>
      <c r="AI55" s="2"/>
      <c r="AK55" s="15"/>
      <c r="AL55" s="15"/>
      <c r="AM55" s="1" t="s">
        <v>26</v>
      </c>
      <c r="AN55" s="1"/>
      <c r="AO55" s="2"/>
      <c r="AP55" s="2"/>
      <c r="BK55" s="1">
        <f t="shared" si="0"/>
        <v>0</v>
      </c>
      <c r="BL55" s="1">
        <v>7</v>
      </c>
      <c r="BM55" s="1">
        <f t="shared" si="1"/>
        <v>0</v>
      </c>
      <c r="BN55" s="1">
        <v>6</v>
      </c>
      <c r="BO55" s="1">
        <v>50</v>
      </c>
    </row>
    <row r="56" spans="1:67" ht="12.75">
      <c r="A56" t="str">
        <f>IF(Eingabe!$G$13="spielfrei","Tisch 5 :","Tisch 6 :")</f>
        <v>Tisch 6 :</v>
      </c>
      <c r="C56" s="15" t="str">
        <f>Eingabe!$G$10</f>
        <v>Spieler 15</v>
      </c>
      <c r="D56" s="1" t="s">
        <v>1</v>
      </c>
      <c r="E56" s="15" t="str">
        <f>Eingabe!$C$13</f>
        <v>Spieler 8</v>
      </c>
      <c r="F56" s="15"/>
      <c r="G56" s="1" t="s">
        <v>26</v>
      </c>
      <c r="H56" s="1" t="s">
        <v>1</v>
      </c>
      <c r="I56" s="5" t="str">
        <f t="shared" si="18"/>
        <v> </v>
      </c>
      <c r="J56" s="3"/>
      <c r="K56" s="15" t="str">
        <f>Eingabe!$G$9</f>
        <v>Spieler 14</v>
      </c>
      <c r="L56" s="1" t="s">
        <v>1</v>
      </c>
      <c r="M56" s="15" t="str">
        <f>Eingabe!$C$12</f>
        <v>Spieler 7</v>
      </c>
      <c r="N56" s="15"/>
      <c r="O56" s="1" t="s">
        <v>26</v>
      </c>
      <c r="P56" s="1" t="s">
        <v>1</v>
      </c>
      <c r="Q56" s="5" t="str">
        <f t="shared" si="19"/>
        <v> </v>
      </c>
      <c r="R56" s="3"/>
      <c r="S56" s="14"/>
      <c r="T56" s="1"/>
      <c r="U56" s="15"/>
      <c r="V56" s="15"/>
      <c r="W56" s="1" t="s">
        <v>26</v>
      </c>
      <c r="X56" s="3"/>
      <c r="Y56" s="3"/>
      <c r="Z56" s="3"/>
      <c r="AA56" s="76"/>
      <c r="AB56" s="3"/>
      <c r="AC56" s="71"/>
      <c r="AD56" s="71"/>
      <c r="AE56" s="3" t="s">
        <v>26</v>
      </c>
      <c r="AF56" s="3"/>
      <c r="AG56" s="3"/>
      <c r="AH56" s="3"/>
      <c r="AI56" s="2"/>
      <c r="AK56" s="15"/>
      <c r="AL56" s="15"/>
      <c r="AM56" s="1" t="s">
        <v>26</v>
      </c>
      <c r="AN56" s="1"/>
      <c r="AO56" s="2"/>
      <c r="AP56" s="2"/>
      <c r="BK56" s="1">
        <f t="shared" si="0"/>
        <v>0</v>
      </c>
      <c r="BL56" s="1">
        <v>7</v>
      </c>
      <c r="BM56" s="1">
        <f t="shared" si="1"/>
        <v>0</v>
      </c>
      <c r="BN56" s="1">
        <v>6</v>
      </c>
      <c r="BO56" s="1">
        <v>51</v>
      </c>
    </row>
    <row r="57" spans="1:67" ht="12.75">
      <c r="A57" t="str">
        <f>IF(Eingabe!$G$13="spielfrei","Tisch 6 :","Tisch 7 :")</f>
        <v>Tisch 7 :</v>
      </c>
      <c r="C57" s="15" t="str">
        <f>Eingabe!$G$9</f>
        <v>Spieler 14</v>
      </c>
      <c r="D57" s="1" t="s">
        <v>1</v>
      </c>
      <c r="E57" s="15" t="str">
        <f>Eingabe!$C$14</f>
        <v>Spieler 9</v>
      </c>
      <c r="F57" s="15"/>
      <c r="G57" s="1" t="s">
        <v>26</v>
      </c>
      <c r="H57" s="1" t="s">
        <v>1</v>
      </c>
      <c r="I57" s="5" t="str">
        <f t="shared" si="18"/>
        <v> </v>
      </c>
      <c r="J57" s="3"/>
      <c r="K57" s="15" t="str">
        <f>Eingabe!$G$8</f>
        <v>Spieler 13</v>
      </c>
      <c r="L57" s="1" t="s">
        <v>1</v>
      </c>
      <c r="M57" s="15" t="str">
        <f>Eingabe!$C$13</f>
        <v>Spieler 8</v>
      </c>
      <c r="N57" s="15"/>
      <c r="O57" s="1" t="s">
        <v>26</v>
      </c>
      <c r="P57" s="1" t="s">
        <v>1</v>
      </c>
      <c r="Q57" s="5" t="str">
        <f t="shared" si="19"/>
        <v> </v>
      </c>
      <c r="R57" s="3"/>
      <c r="S57" s="14"/>
      <c r="T57" s="1"/>
      <c r="U57" s="15"/>
      <c r="V57" s="15"/>
      <c r="W57" s="1" t="s">
        <v>26</v>
      </c>
      <c r="X57" s="3"/>
      <c r="Y57" s="3"/>
      <c r="Z57" s="3"/>
      <c r="AA57" s="76"/>
      <c r="AB57" s="3"/>
      <c r="AC57" s="71"/>
      <c r="AD57" s="71"/>
      <c r="AE57" s="3" t="s">
        <v>26</v>
      </c>
      <c r="AF57" s="3"/>
      <c r="AG57" s="3"/>
      <c r="AH57" s="3"/>
      <c r="AI57" s="2"/>
      <c r="AK57" s="15"/>
      <c r="AL57" s="15"/>
      <c r="AM57" s="1" t="s">
        <v>26</v>
      </c>
      <c r="AN57" s="1"/>
      <c r="AO57" s="2"/>
      <c r="AP57" s="2"/>
      <c r="BK57" s="1">
        <f t="shared" si="0"/>
        <v>0</v>
      </c>
      <c r="BL57" s="1">
        <v>7</v>
      </c>
      <c r="BM57" s="1">
        <f t="shared" si="1"/>
        <v>0</v>
      </c>
      <c r="BN57" s="1">
        <v>6</v>
      </c>
      <c r="BO57" s="1">
        <v>52</v>
      </c>
    </row>
    <row r="58" spans="1:67" ht="12.75">
      <c r="A58" t="str">
        <f>IF(Eingabe!$G$13="spielfrei","Tisch 7 :","Tisch 8 :")</f>
        <v>Tisch 8 :</v>
      </c>
      <c r="C58" s="15" t="str">
        <f>Eingabe!$G$8</f>
        <v>Spieler 13</v>
      </c>
      <c r="D58" s="1" t="s">
        <v>1</v>
      </c>
      <c r="E58" s="15" t="str">
        <f>Eingabe!$C$15</f>
        <v>Spieler 10</v>
      </c>
      <c r="F58" s="15"/>
      <c r="G58" s="1" t="s">
        <v>26</v>
      </c>
      <c r="H58" s="1" t="s">
        <v>1</v>
      </c>
      <c r="I58" s="5" t="str">
        <f t="shared" si="18"/>
        <v> </v>
      </c>
      <c r="J58" s="3"/>
      <c r="K58" s="15" t="str">
        <f>Eingabe!$G$7</f>
        <v>Spieler 12</v>
      </c>
      <c r="L58" s="1" t="s">
        <v>1</v>
      </c>
      <c r="M58" s="15" t="str">
        <f>Eingabe!$C$14</f>
        <v>Spieler 9</v>
      </c>
      <c r="N58" s="15"/>
      <c r="O58" s="1" t="s">
        <v>26</v>
      </c>
      <c r="P58" s="1" t="s">
        <v>1</v>
      </c>
      <c r="Q58" s="5" t="str">
        <f t="shared" si="19"/>
        <v> </v>
      </c>
      <c r="R58" s="3"/>
      <c r="S58" s="14"/>
      <c r="T58" s="1"/>
      <c r="U58" s="15"/>
      <c r="V58" s="15"/>
      <c r="W58" s="1" t="s">
        <v>26</v>
      </c>
      <c r="X58" s="3"/>
      <c r="Y58" s="3"/>
      <c r="Z58" s="3"/>
      <c r="AA58" s="76"/>
      <c r="AB58" s="3"/>
      <c r="AC58" s="71"/>
      <c r="AD58" s="71"/>
      <c r="AE58" s="3" t="s">
        <v>26</v>
      </c>
      <c r="AF58" s="3"/>
      <c r="AG58" s="3"/>
      <c r="AH58" s="3"/>
      <c r="AI58" s="2"/>
      <c r="AK58" s="15"/>
      <c r="AL58" s="15"/>
      <c r="AM58" s="1" t="s">
        <v>26</v>
      </c>
      <c r="AN58" s="1"/>
      <c r="AO58" s="2"/>
      <c r="AP58" s="2"/>
      <c r="BK58" s="1">
        <f t="shared" si="0"/>
        <v>0</v>
      </c>
      <c r="BL58" s="1">
        <v>7</v>
      </c>
      <c r="BM58" s="1">
        <f t="shared" si="1"/>
        <v>0</v>
      </c>
      <c r="BN58" s="1">
        <v>6</v>
      </c>
      <c r="BO58" s="1">
        <v>53</v>
      </c>
    </row>
    <row r="59" spans="1:67" ht="12.75">
      <c r="A59" t="str">
        <f>IF(Eingabe!$G$13="spielfrei","Tisch 8 :","Tisch 9 :")</f>
        <v>Tisch 9 :</v>
      </c>
      <c r="C59" s="15" t="str">
        <f>Eingabe!$G$7</f>
        <v>Spieler 12</v>
      </c>
      <c r="D59" s="1" t="s">
        <v>1</v>
      </c>
      <c r="E59" s="15" t="str">
        <f>Eingabe!$G$6</f>
        <v>Spieler 11</v>
      </c>
      <c r="F59" s="15"/>
      <c r="G59" s="1" t="s">
        <v>26</v>
      </c>
      <c r="H59" s="1" t="s">
        <v>1</v>
      </c>
      <c r="I59" s="5" t="str">
        <f t="shared" si="18"/>
        <v> </v>
      </c>
      <c r="J59" s="3"/>
      <c r="K59" s="15" t="str">
        <f>Eingabe!$G$6</f>
        <v>Spieler 11</v>
      </c>
      <c r="L59" s="1" t="s">
        <v>1</v>
      </c>
      <c r="M59" s="15" t="str">
        <f>Eingabe!$C$15</f>
        <v>Spieler 10</v>
      </c>
      <c r="N59" s="15"/>
      <c r="O59" s="1" t="s">
        <v>26</v>
      </c>
      <c r="P59" s="1" t="s">
        <v>1</v>
      </c>
      <c r="Q59" s="5" t="str">
        <f t="shared" si="19"/>
        <v> </v>
      </c>
      <c r="R59" s="3"/>
      <c r="S59" s="14"/>
      <c r="T59" s="1"/>
      <c r="U59" s="15"/>
      <c r="V59" s="15"/>
      <c r="W59" s="1" t="s">
        <v>26</v>
      </c>
      <c r="X59" s="3"/>
      <c r="Y59" s="3"/>
      <c r="Z59" s="3"/>
      <c r="AA59" s="76"/>
      <c r="AB59" s="3"/>
      <c r="AC59" s="71"/>
      <c r="AD59" s="71"/>
      <c r="AE59" s="3" t="s">
        <v>26</v>
      </c>
      <c r="AF59" s="3"/>
      <c r="AG59" s="3"/>
      <c r="AH59" s="3"/>
      <c r="AI59" s="2"/>
      <c r="AK59" s="15"/>
      <c r="AL59" s="15"/>
      <c r="AM59" s="1" t="s">
        <v>26</v>
      </c>
      <c r="AN59" s="1"/>
      <c r="AO59" s="2"/>
      <c r="AP59" s="2"/>
      <c r="BK59" s="1">
        <f t="shared" si="0"/>
        <v>0</v>
      </c>
      <c r="BL59" s="1">
        <v>7</v>
      </c>
      <c r="BM59" s="1">
        <f t="shared" si="1"/>
        <v>0</v>
      </c>
      <c r="BN59" s="1">
        <v>7</v>
      </c>
      <c r="BO59" s="1">
        <v>54</v>
      </c>
    </row>
    <row r="60" spans="7:67" ht="12.75">
      <c r="G60" t="s">
        <v>26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O60" s="2"/>
      <c r="AP60" s="2"/>
      <c r="BK60" s="1">
        <f t="shared" si="0"/>
        <v>0</v>
      </c>
      <c r="BL60" s="1">
        <v>7</v>
      </c>
      <c r="BM60" s="1">
        <f t="shared" si="1"/>
        <v>0</v>
      </c>
      <c r="BN60" s="1">
        <v>7</v>
      </c>
      <c r="BO60" s="1">
        <v>55</v>
      </c>
    </row>
    <row r="61" spans="63:67" ht="12.75">
      <c r="BK61" s="1">
        <f t="shared" si="0"/>
        <v>0</v>
      </c>
      <c r="BL61" s="1">
        <v>8</v>
      </c>
      <c r="BM61" s="1">
        <f t="shared" si="1"/>
        <v>0</v>
      </c>
      <c r="BN61" s="1">
        <v>7</v>
      </c>
      <c r="BO61" s="1">
        <v>56</v>
      </c>
    </row>
    <row r="62" spans="63:67" ht="12.75">
      <c r="BK62" s="1">
        <f t="shared" si="0"/>
        <v>0</v>
      </c>
      <c r="BL62" s="1">
        <v>8</v>
      </c>
      <c r="BM62" s="1">
        <f t="shared" si="1"/>
        <v>0</v>
      </c>
      <c r="BN62" s="1">
        <v>7</v>
      </c>
      <c r="BO62" s="1">
        <v>57</v>
      </c>
    </row>
    <row r="63" spans="63:67" ht="12.75">
      <c r="BK63" s="1">
        <f t="shared" si="0"/>
        <v>0</v>
      </c>
      <c r="BL63" s="1">
        <v>8</v>
      </c>
      <c r="BM63" s="1">
        <f t="shared" si="1"/>
        <v>0</v>
      </c>
      <c r="BN63" s="1">
        <v>7</v>
      </c>
      <c r="BO63" s="1">
        <v>58</v>
      </c>
    </row>
    <row r="64" spans="63:67" ht="12.75">
      <c r="BK64" s="1">
        <f t="shared" si="0"/>
        <v>0</v>
      </c>
      <c r="BL64" s="1">
        <v>8</v>
      </c>
      <c r="BM64" s="1">
        <f t="shared" si="1"/>
        <v>0</v>
      </c>
      <c r="BN64" s="1">
        <v>7</v>
      </c>
      <c r="BO64" s="1">
        <v>59</v>
      </c>
    </row>
    <row r="65" spans="63:67" ht="12.75">
      <c r="BK65" s="1">
        <f t="shared" si="0"/>
        <v>0</v>
      </c>
      <c r="BL65" s="1">
        <v>8</v>
      </c>
      <c r="BM65" s="1">
        <f t="shared" si="1"/>
        <v>0</v>
      </c>
      <c r="BN65" s="1">
        <v>7</v>
      </c>
      <c r="BO65" s="1">
        <v>60</v>
      </c>
    </row>
    <row r="66" spans="63:67" ht="12.75">
      <c r="BK66" s="1">
        <f t="shared" si="0"/>
        <v>0</v>
      </c>
      <c r="BL66" s="1">
        <v>8</v>
      </c>
      <c r="BM66" s="1">
        <f t="shared" si="1"/>
        <v>0</v>
      </c>
      <c r="BN66" s="1">
        <v>7</v>
      </c>
      <c r="BO66" s="1">
        <v>61</v>
      </c>
    </row>
    <row r="67" spans="63:67" ht="12.75">
      <c r="BK67" s="1">
        <f t="shared" si="0"/>
        <v>0</v>
      </c>
      <c r="BL67" s="1">
        <v>8</v>
      </c>
      <c r="BM67" s="1">
        <f t="shared" si="1"/>
        <v>0</v>
      </c>
      <c r="BN67" s="1">
        <v>7</v>
      </c>
      <c r="BO67" s="1">
        <v>62</v>
      </c>
    </row>
    <row r="68" spans="63:67" ht="12.75">
      <c r="BK68" s="1">
        <f t="shared" si="0"/>
        <v>0</v>
      </c>
      <c r="BL68" s="1">
        <v>8</v>
      </c>
      <c r="BM68" s="1">
        <f t="shared" si="1"/>
        <v>0</v>
      </c>
      <c r="BN68" s="1">
        <v>8</v>
      </c>
      <c r="BO68" s="1">
        <v>63</v>
      </c>
    </row>
    <row r="69" spans="63:67" ht="12.75">
      <c r="BK69" s="1">
        <f t="shared" si="0"/>
        <v>0</v>
      </c>
      <c r="BL69" s="1">
        <v>9</v>
      </c>
      <c r="BM69" s="1">
        <f t="shared" si="1"/>
        <v>0</v>
      </c>
      <c r="BN69" s="1">
        <v>8</v>
      </c>
      <c r="BO69" s="1">
        <v>64</v>
      </c>
    </row>
    <row r="70" spans="63:67" ht="12.75">
      <c r="BK70" s="1">
        <f aca="true" t="shared" si="20" ref="BK70:BK133">IF($BK$4=BO70,BL70,0)</f>
        <v>0</v>
      </c>
      <c r="BL70" s="1">
        <v>9</v>
      </c>
      <c r="BM70" s="1">
        <f aca="true" t="shared" si="21" ref="BM70:BM133">IF($BM$4=BO70,BN70,0)</f>
        <v>0</v>
      </c>
      <c r="BN70" s="1">
        <v>8</v>
      </c>
      <c r="BO70" s="1">
        <v>65</v>
      </c>
    </row>
    <row r="71" spans="63:67" ht="12.75">
      <c r="BK71" s="1">
        <f t="shared" si="20"/>
        <v>0</v>
      </c>
      <c r="BL71" s="1">
        <v>9</v>
      </c>
      <c r="BM71" s="1">
        <f t="shared" si="21"/>
        <v>0</v>
      </c>
      <c r="BN71" s="1">
        <v>8</v>
      </c>
      <c r="BO71" s="1">
        <v>66</v>
      </c>
    </row>
    <row r="72" spans="63:67" ht="12.75">
      <c r="BK72" s="1">
        <f t="shared" si="20"/>
        <v>0</v>
      </c>
      <c r="BL72" s="1">
        <v>9</v>
      </c>
      <c r="BM72" s="1">
        <f t="shared" si="21"/>
        <v>0</v>
      </c>
      <c r="BN72" s="1">
        <v>8</v>
      </c>
      <c r="BO72" s="1">
        <v>67</v>
      </c>
    </row>
    <row r="73" spans="63:67" ht="12.75">
      <c r="BK73" s="1">
        <f t="shared" si="20"/>
        <v>0</v>
      </c>
      <c r="BL73" s="1">
        <v>9</v>
      </c>
      <c r="BM73" s="1">
        <f t="shared" si="21"/>
        <v>0</v>
      </c>
      <c r="BN73" s="1">
        <v>8</v>
      </c>
      <c r="BO73" s="1">
        <v>68</v>
      </c>
    </row>
    <row r="74" spans="63:67" ht="12.75">
      <c r="BK74" s="1">
        <f t="shared" si="20"/>
        <v>0</v>
      </c>
      <c r="BL74" s="1">
        <v>9</v>
      </c>
      <c r="BM74" s="1">
        <f t="shared" si="21"/>
        <v>0</v>
      </c>
      <c r="BN74" s="1">
        <v>8</v>
      </c>
      <c r="BO74" s="1">
        <v>69</v>
      </c>
    </row>
    <row r="75" spans="63:67" ht="12.75">
      <c r="BK75" s="1">
        <f t="shared" si="20"/>
        <v>0</v>
      </c>
      <c r="BL75" s="1">
        <v>9</v>
      </c>
      <c r="BM75" s="1">
        <f t="shared" si="21"/>
        <v>0</v>
      </c>
      <c r="BN75" s="1">
        <v>8</v>
      </c>
      <c r="BO75" s="1">
        <v>70</v>
      </c>
    </row>
    <row r="76" spans="63:67" ht="12.75">
      <c r="BK76" s="1">
        <f t="shared" si="20"/>
        <v>0</v>
      </c>
      <c r="BL76" s="1">
        <v>9</v>
      </c>
      <c r="BM76" s="1">
        <f t="shared" si="21"/>
        <v>0</v>
      </c>
      <c r="BN76" s="1">
        <v>8</v>
      </c>
      <c r="BO76" s="1">
        <v>71</v>
      </c>
    </row>
    <row r="77" spans="63:67" ht="12.75">
      <c r="BK77" s="1">
        <f t="shared" si="20"/>
        <v>0</v>
      </c>
      <c r="BL77" s="1">
        <v>10</v>
      </c>
      <c r="BM77" s="1">
        <f t="shared" si="21"/>
        <v>0</v>
      </c>
      <c r="BN77" s="1">
        <v>9</v>
      </c>
      <c r="BO77" s="1">
        <v>72</v>
      </c>
    </row>
    <row r="78" spans="63:67" ht="12.75">
      <c r="BK78" s="1">
        <f t="shared" si="20"/>
        <v>0</v>
      </c>
      <c r="BL78" s="1">
        <v>10</v>
      </c>
      <c r="BM78" s="1">
        <f t="shared" si="21"/>
        <v>0</v>
      </c>
      <c r="BN78" s="1">
        <v>9</v>
      </c>
      <c r="BO78" s="1">
        <v>73</v>
      </c>
    </row>
    <row r="79" spans="63:67" ht="12.75">
      <c r="BK79" s="1">
        <f t="shared" si="20"/>
        <v>0</v>
      </c>
      <c r="BL79" s="1">
        <v>10</v>
      </c>
      <c r="BM79" s="1">
        <f t="shared" si="21"/>
        <v>0</v>
      </c>
      <c r="BN79" s="1">
        <v>9</v>
      </c>
      <c r="BO79" s="1">
        <v>74</v>
      </c>
    </row>
    <row r="80" spans="63:67" ht="12.75">
      <c r="BK80" s="1">
        <f t="shared" si="20"/>
        <v>0</v>
      </c>
      <c r="BL80" s="1">
        <v>10</v>
      </c>
      <c r="BM80" s="1">
        <f t="shared" si="21"/>
        <v>0</v>
      </c>
      <c r="BN80" s="1">
        <v>9</v>
      </c>
      <c r="BO80" s="1">
        <v>75</v>
      </c>
    </row>
    <row r="81" spans="63:67" ht="12.75">
      <c r="BK81" s="1">
        <f t="shared" si="20"/>
        <v>0</v>
      </c>
      <c r="BL81" s="1">
        <v>10</v>
      </c>
      <c r="BM81" s="1">
        <f t="shared" si="21"/>
        <v>0</v>
      </c>
      <c r="BN81" s="1">
        <v>9</v>
      </c>
      <c r="BO81" s="1">
        <v>76</v>
      </c>
    </row>
    <row r="82" spans="63:67" ht="12.75">
      <c r="BK82" s="1">
        <f t="shared" si="20"/>
        <v>0</v>
      </c>
      <c r="BL82" s="1">
        <v>10</v>
      </c>
      <c r="BM82" s="1">
        <f t="shared" si="21"/>
        <v>0</v>
      </c>
      <c r="BN82" s="1">
        <v>9</v>
      </c>
      <c r="BO82" s="1">
        <v>77</v>
      </c>
    </row>
    <row r="83" spans="63:67" ht="12.75">
      <c r="BK83" s="1">
        <f t="shared" si="20"/>
        <v>0</v>
      </c>
      <c r="BL83" s="1">
        <v>10</v>
      </c>
      <c r="BM83" s="1">
        <f t="shared" si="21"/>
        <v>0</v>
      </c>
      <c r="BN83" s="1">
        <v>9</v>
      </c>
      <c r="BO83" s="1">
        <v>78</v>
      </c>
    </row>
    <row r="84" spans="63:67" ht="12.75">
      <c r="BK84" s="1">
        <f t="shared" si="20"/>
        <v>0</v>
      </c>
      <c r="BL84" s="1">
        <v>10</v>
      </c>
      <c r="BM84" s="1">
        <f t="shared" si="21"/>
        <v>0</v>
      </c>
      <c r="BN84" s="1">
        <v>9</v>
      </c>
      <c r="BO84" s="1">
        <v>79</v>
      </c>
    </row>
    <row r="85" spans="63:67" ht="12.75">
      <c r="BK85" s="1">
        <f t="shared" si="20"/>
        <v>0</v>
      </c>
      <c r="BL85" s="1">
        <v>11</v>
      </c>
      <c r="BM85" s="1">
        <f t="shared" si="21"/>
        <v>0</v>
      </c>
      <c r="BN85" s="1">
        <v>9</v>
      </c>
      <c r="BO85" s="1">
        <v>80</v>
      </c>
    </row>
    <row r="86" spans="63:67" ht="12.75">
      <c r="BK86" s="1">
        <f t="shared" si="20"/>
        <v>0</v>
      </c>
      <c r="BL86" s="1">
        <v>11</v>
      </c>
      <c r="BM86" s="1">
        <f t="shared" si="21"/>
        <v>0</v>
      </c>
      <c r="BN86" s="1">
        <v>10</v>
      </c>
      <c r="BO86" s="1">
        <v>81</v>
      </c>
    </row>
    <row r="87" spans="63:67" ht="12.75">
      <c r="BK87" s="1">
        <f t="shared" si="20"/>
        <v>0</v>
      </c>
      <c r="BL87" s="1">
        <v>11</v>
      </c>
      <c r="BM87" s="1">
        <f t="shared" si="21"/>
        <v>0</v>
      </c>
      <c r="BN87" s="1">
        <v>10</v>
      </c>
      <c r="BO87" s="1">
        <v>82</v>
      </c>
    </row>
    <row r="88" spans="63:67" ht="12.75">
      <c r="BK88" s="1">
        <f t="shared" si="20"/>
        <v>0</v>
      </c>
      <c r="BL88" s="1">
        <v>11</v>
      </c>
      <c r="BM88" s="1">
        <f t="shared" si="21"/>
        <v>0</v>
      </c>
      <c r="BN88" s="1">
        <v>10</v>
      </c>
      <c r="BO88" s="1">
        <v>83</v>
      </c>
    </row>
    <row r="89" spans="63:67" ht="12.75">
      <c r="BK89" s="1">
        <f t="shared" si="20"/>
        <v>0</v>
      </c>
      <c r="BL89" s="1">
        <v>11</v>
      </c>
      <c r="BM89" s="1">
        <f t="shared" si="21"/>
        <v>0</v>
      </c>
      <c r="BN89" s="1">
        <v>10</v>
      </c>
      <c r="BO89" s="1">
        <v>84</v>
      </c>
    </row>
    <row r="90" spans="63:67" ht="12.75">
      <c r="BK90" s="1">
        <f t="shared" si="20"/>
        <v>0</v>
      </c>
      <c r="BL90" s="1">
        <v>11</v>
      </c>
      <c r="BM90" s="1">
        <f t="shared" si="21"/>
        <v>0</v>
      </c>
      <c r="BN90" s="1">
        <v>10</v>
      </c>
      <c r="BO90" s="1">
        <v>85</v>
      </c>
    </row>
    <row r="91" spans="63:67" ht="12.75">
      <c r="BK91" s="1">
        <f t="shared" si="20"/>
        <v>0</v>
      </c>
      <c r="BL91" s="1">
        <v>11</v>
      </c>
      <c r="BM91" s="1">
        <f t="shared" si="21"/>
        <v>0</v>
      </c>
      <c r="BN91" s="1">
        <v>10</v>
      </c>
      <c r="BO91" s="1">
        <v>86</v>
      </c>
    </row>
    <row r="92" spans="63:67" ht="12.75">
      <c r="BK92" s="1">
        <f t="shared" si="20"/>
        <v>0</v>
      </c>
      <c r="BL92" s="1">
        <v>11</v>
      </c>
      <c r="BM92" s="1">
        <f t="shared" si="21"/>
        <v>0</v>
      </c>
      <c r="BN92" s="1">
        <v>10</v>
      </c>
      <c r="BO92" s="1">
        <v>87</v>
      </c>
    </row>
    <row r="93" spans="63:67" ht="12.75">
      <c r="BK93" s="1">
        <f t="shared" si="20"/>
        <v>0</v>
      </c>
      <c r="BL93" s="1">
        <v>12</v>
      </c>
      <c r="BM93" s="1">
        <f t="shared" si="21"/>
        <v>0</v>
      </c>
      <c r="BN93" s="1">
        <v>10</v>
      </c>
      <c r="BO93" s="1">
        <v>88</v>
      </c>
    </row>
    <row r="94" spans="63:67" ht="12.75">
      <c r="BK94" s="1">
        <f t="shared" si="20"/>
        <v>0</v>
      </c>
      <c r="BL94" s="1">
        <v>12</v>
      </c>
      <c r="BM94" s="1">
        <f t="shared" si="21"/>
        <v>0</v>
      </c>
      <c r="BN94" s="1">
        <v>10</v>
      </c>
      <c r="BO94" s="1">
        <v>89</v>
      </c>
    </row>
    <row r="95" spans="63:67" ht="12.75">
      <c r="BK95" s="1">
        <f t="shared" si="20"/>
        <v>0</v>
      </c>
      <c r="BL95" s="1">
        <v>12</v>
      </c>
      <c r="BM95" s="1">
        <f t="shared" si="21"/>
        <v>0</v>
      </c>
      <c r="BN95" s="1">
        <v>11</v>
      </c>
      <c r="BO95" s="1">
        <v>90</v>
      </c>
    </row>
    <row r="96" spans="63:67" ht="12.75">
      <c r="BK96" s="1">
        <f t="shared" si="20"/>
        <v>0</v>
      </c>
      <c r="BL96" s="1">
        <v>12</v>
      </c>
      <c r="BM96" s="1">
        <f t="shared" si="21"/>
        <v>0</v>
      </c>
      <c r="BN96" s="1">
        <v>11</v>
      </c>
      <c r="BO96" s="1">
        <v>91</v>
      </c>
    </row>
    <row r="97" spans="63:67" ht="12.75">
      <c r="BK97" s="1">
        <f t="shared" si="20"/>
        <v>0</v>
      </c>
      <c r="BL97" s="1">
        <v>12</v>
      </c>
      <c r="BM97" s="1">
        <f t="shared" si="21"/>
        <v>0</v>
      </c>
      <c r="BN97" s="1">
        <v>11</v>
      </c>
      <c r="BO97" s="1">
        <v>92</v>
      </c>
    </row>
    <row r="98" spans="63:67" ht="12.75">
      <c r="BK98" s="1">
        <f t="shared" si="20"/>
        <v>0</v>
      </c>
      <c r="BL98" s="1">
        <v>12</v>
      </c>
      <c r="BM98" s="1">
        <f t="shared" si="21"/>
        <v>0</v>
      </c>
      <c r="BN98" s="1">
        <v>11</v>
      </c>
      <c r="BO98" s="1">
        <v>93</v>
      </c>
    </row>
    <row r="99" spans="63:67" ht="12.75">
      <c r="BK99" s="1">
        <f t="shared" si="20"/>
        <v>0</v>
      </c>
      <c r="BL99" s="1">
        <v>12</v>
      </c>
      <c r="BM99" s="1">
        <f t="shared" si="21"/>
        <v>0</v>
      </c>
      <c r="BN99" s="1">
        <v>11</v>
      </c>
      <c r="BO99" s="1">
        <v>94</v>
      </c>
    </row>
    <row r="100" spans="63:67" ht="12.75">
      <c r="BK100" s="1">
        <f t="shared" si="20"/>
        <v>0</v>
      </c>
      <c r="BL100" s="1">
        <v>12</v>
      </c>
      <c r="BM100" s="1">
        <f t="shared" si="21"/>
        <v>0</v>
      </c>
      <c r="BN100" s="1">
        <v>11</v>
      </c>
      <c r="BO100" s="1">
        <v>95</v>
      </c>
    </row>
    <row r="101" spans="63:67" ht="12.75">
      <c r="BK101" s="1">
        <f t="shared" si="20"/>
        <v>0</v>
      </c>
      <c r="BL101" s="1">
        <v>13</v>
      </c>
      <c r="BM101" s="1">
        <f t="shared" si="21"/>
        <v>0</v>
      </c>
      <c r="BN101" s="1">
        <v>11</v>
      </c>
      <c r="BO101" s="1">
        <v>96</v>
      </c>
    </row>
    <row r="102" spans="63:67" ht="12.75">
      <c r="BK102" s="1">
        <f t="shared" si="20"/>
        <v>0</v>
      </c>
      <c r="BL102" s="1">
        <v>13</v>
      </c>
      <c r="BM102" s="1">
        <f t="shared" si="21"/>
        <v>0</v>
      </c>
      <c r="BN102" s="1">
        <v>11</v>
      </c>
      <c r="BO102" s="1">
        <v>97</v>
      </c>
    </row>
    <row r="103" spans="63:67" ht="12.75">
      <c r="BK103" s="1">
        <f t="shared" si="20"/>
        <v>0</v>
      </c>
      <c r="BL103" s="1">
        <v>13</v>
      </c>
      <c r="BM103" s="1">
        <f t="shared" si="21"/>
        <v>0</v>
      </c>
      <c r="BN103" s="1">
        <v>11</v>
      </c>
      <c r="BO103" s="1">
        <v>98</v>
      </c>
    </row>
    <row r="104" spans="63:67" ht="12.75">
      <c r="BK104" s="1">
        <f t="shared" si="20"/>
        <v>0</v>
      </c>
      <c r="BL104" s="1">
        <v>13</v>
      </c>
      <c r="BM104" s="1">
        <f t="shared" si="21"/>
        <v>0</v>
      </c>
      <c r="BN104" s="1">
        <v>12</v>
      </c>
      <c r="BO104" s="1">
        <v>99</v>
      </c>
    </row>
    <row r="105" spans="63:67" ht="12.75">
      <c r="BK105" s="1">
        <f t="shared" si="20"/>
        <v>0</v>
      </c>
      <c r="BL105" s="1">
        <v>13</v>
      </c>
      <c r="BM105" s="1">
        <f t="shared" si="21"/>
        <v>0</v>
      </c>
      <c r="BN105" s="1">
        <v>12</v>
      </c>
      <c r="BO105" s="1">
        <v>100</v>
      </c>
    </row>
    <row r="106" spans="63:67" ht="12.75">
      <c r="BK106" s="1">
        <f t="shared" si="20"/>
        <v>0</v>
      </c>
      <c r="BL106" s="1">
        <v>13</v>
      </c>
      <c r="BM106" s="1">
        <f t="shared" si="21"/>
        <v>0</v>
      </c>
      <c r="BN106" s="1">
        <v>12</v>
      </c>
      <c r="BO106" s="1">
        <v>101</v>
      </c>
    </row>
    <row r="107" spans="63:67" ht="12.75">
      <c r="BK107" s="1">
        <f t="shared" si="20"/>
        <v>0</v>
      </c>
      <c r="BL107" s="1">
        <v>13</v>
      </c>
      <c r="BM107" s="1">
        <f t="shared" si="21"/>
        <v>0</v>
      </c>
      <c r="BN107" s="1">
        <v>12</v>
      </c>
      <c r="BO107" s="1">
        <v>102</v>
      </c>
    </row>
    <row r="108" spans="63:67" ht="12.75">
      <c r="BK108" s="1">
        <f t="shared" si="20"/>
        <v>0</v>
      </c>
      <c r="BL108" s="1">
        <v>13</v>
      </c>
      <c r="BM108" s="1">
        <f t="shared" si="21"/>
        <v>0</v>
      </c>
      <c r="BN108" s="1">
        <v>12</v>
      </c>
      <c r="BO108" s="1">
        <v>103</v>
      </c>
    </row>
    <row r="109" spans="63:67" ht="12.75">
      <c r="BK109" s="1">
        <f t="shared" si="20"/>
        <v>0</v>
      </c>
      <c r="BL109" s="1">
        <v>14</v>
      </c>
      <c r="BM109" s="1">
        <f t="shared" si="21"/>
        <v>0</v>
      </c>
      <c r="BN109" s="1">
        <v>12</v>
      </c>
      <c r="BO109" s="1">
        <v>104</v>
      </c>
    </row>
    <row r="110" spans="63:67" ht="12.75">
      <c r="BK110" s="1">
        <f t="shared" si="20"/>
        <v>0</v>
      </c>
      <c r="BL110" s="1">
        <v>14</v>
      </c>
      <c r="BM110" s="1">
        <f t="shared" si="21"/>
        <v>0</v>
      </c>
      <c r="BN110" s="1">
        <v>12</v>
      </c>
      <c r="BO110" s="1">
        <v>105</v>
      </c>
    </row>
    <row r="111" spans="63:67" ht="12.75">
      <c r="BK111" s="1">
        <f t="shared" si="20"/>
        <v>0</v>
      </c>
      <c r="BL111" s="1">
        <v>14</v>
      </c>
      <c r="BM111" s="1">
        <f t="shared" si="21"/>
        <v>0</v>
      </c>
      <c r="BN111" s="1">
        <v>12</v>
      </c>
      <c r="BO111" s="1">
        <v>106</v>
      </c>
    </row>
    <row r="112" spans="63:67" ht="12.75">
      <c r="BK112" s="1">
        <f t="shared" si="20"/>
        <v>0</v>
      </c>
      <c r="BL112" s="1">
        <v>14</v>
      </c>
      <c r="BM112" s="1">
        <f t="shared" si="21"/>
        <v>0</v>
      </c>
      <c r="BN112" s="1">
        <v>12</v>
      </c>
      <c r="BO112" s="1">
        <v>107</v>
      </c>
    </row>
    <row r="113" spans="63:67" ht="12.75">
      <c r="BK113" s="1">
        <f t="shared" si="20"/>
        <v>0</v>
      </c>
      <c r="BL113" s="1">
        <v>14</v>
      </c>
      <c r="BM113" s="1">
        <f t="shared" si="21"/>
        <v>0</v>
      </c>
      <c r="BN113" s="1">
        <v>13</v>
      </c>
      <c r="BO113" s="1">
        <v>108</v>
      </c>
    </row>
    <row r="114" spans="63:67" ht="12.75">
      <c r="BK114" s="1">
        <f t="shared" si="20"/>
        <v>0</v>
      </c>
      <c r="BL114" s="1">
        <v>14</v>
      </c>
      <c r="BM114" s="1">
        <f t="shared" si="21"/>
        <v>0</v>
      </c>
      <c r="BN114" s="1">
        <v>13</v>
      </c>
      <c r="BO114" s="1">
        <v>109</v>
      </c>
    </row>
    <row r="115" spans="63:67" ht="12.75">
      <c r="BK115" s="1">
        <f t="shared" si="20"/>
        <v>0</v>
      </c>
      <c r="BL115" s="1">
        <v>14</v>
      </c>
      <c r="BM115" s="1">
        <f t="shared" si="21"/>
        <v>0</v>
      </c>
      <c r="BN115" s="1">
        <v>13</v>
      </c>
      <c r="BO115" s="1">
        <v>110</v>
      </c>
    </row>
    <row r="116" spans="63:67" ht="12.75">
      <c r="BK116" s="1">
        <f t="shared" si="20"/>
        <v>0</v>
      </c>
      <c r="BL116" s="1">
        <v>14</v>
      </c>
      <c r="BM116" s="1">
        <f t="shared" si="21"/>
        <v>0</v>
      </c>
      <c r="BN116" s="1">
        <v>13</v>
      </c>
      <c r="BO116" s="1">
        <v>111</v>
      </c>
    </row>
    <row r="117" spans="63:67" ht="12.75">
      <c r="BK117" s="1">
        <f t="shared" si="20"/>
        <v>0</v>
      </c>
      <c r="BL117" s="1">
        <v>15</v>
      </c>
      <c r="BM117" s="1">
        <f t="shared" si="21"/>
        <v>0</v>
      </c>
      <c r="BN117" s="1">
        <v>13</v>
      </c>
      <c r="BO117" s="1">
        <v>112</v>
      </c>
    </row>
    <row r="118" spans="63:67" ht="12.75">
      <c r="BK118" s="1">
        <f t="shared" si="20"/>
        <v>0</v>
      </c>
      <c r="BL118" s="1">
        <v>15</v>
      </c>
      <c r="BM118" s="1">
        <f t="shared" si="21"/>
        <v>0</v>
      </c>
      <c r="BN118" s="1">
        <v>13</v>
      </c>
      <c r="BO118" s="1">
        <v>113</v>
      </c>
    </row>
    <row r="119" spans="63:67" ht="12.75">
      <c r="BK119" s="1">
        <f t="shared" si="20"/>
        <v>0</v>
      </c>
      <c r="BL119" s="1">
        <v>15</v>
      </c>
      <c r="BM119" s="1">
        <f t="shared" si="21"/>
        <v>0</v>
      </c>
      <c r="BN119" s="1">
        <v>13</v>
      </c>
      <c r="BO119" s="1">
        <v>114</v>
      </c>
    </row>
    <row r="120" spans="63:67" ht="12.75">
      <c r="BK120" s="1">
        <f t="shared" si="20"/>
        <v>0</v>
      </c>
      <c r="BL120" s="1">
        <v>15</v>
      </c>
      <c r="BM120" s="1">
        <f t="shared" si="21"/>
        <v>0</v>
      </c>
      <c r="BN120" s="1">
        <v>13</v>
      </c>
      <c r="BO120" s="1">
        <v>115</v>
      </c>
    </row>
    <row r="121" spans="63:67" ht="12.75">
      <c r="BK121" s="1">
        <f t="shared" si="20"/>
        <v>0</v>
      </c>
      <c r="BL121" s="1">
        <v>15</v>
      </c>
      <c r="BM121" s="1">
        <f t="shared" si="21"/>
        <v>0</v>
      </c>
      <c r="BN121" s="1">
        <v>13</v>
      </c>
      <c r="BO121" s="1">
        <v>116</v>
      </c>
    </row>
    <row r="122" spans="63:67" ht="12.75">
      <c r="BK122" s="1">
        <f t="shared" si="20"/>
        <v>0</v>
      </c>
      <c r="BL122" s="1">
        <v>15</v>
      </c>
      <c r="BM122" s="1">
        <f t="shared" si="21"/>
        <v>0</v>
      </c>
      <c r="BN122" s="1">
        <v>14</v>
      </c>
      <c r="BO122" s="1">
        <v>117</v>
      </c>
    </row>
    <row r="123" spans="63:67" ht="12.75">
      <c r="BK123" s="1">
        <f t="shared" si="20"/>
        <v>0</v>
      </c>
      <c r="BL123" s="1">
        <v>15</v>
      </c>
      <c r="BM123" s="1">
        <f t="shared" si="21"/>
        <v>0</v>
      </c>
      <c r="BN123" s="1">
        <v>14</v>
      </c>
      <c r="BO123" s="1">
        <v>118</v>
      </c>
    </row>
    <row r="124" spans="63:67" ht="12.75">
      <c r="BK124" s="1">
        <f t="shared" si="20"/>
        <v>0</v>
      </c>
      <c r="BL124" s="1">
        <v>15</v>
      </c>
      <c r="BM124" s="1">
        <f t="shared" si="21"/>
        <v>0</v>
      </c>
      <c r="BN124" s="1">
        <v>14</v>
      </c>
      <c r="BO124" s="1">
        <v>119</v>
      </c>
    </row>
    <row r="125" spans="63:67" ht="12.75">
      <c r="BK125" s="1">
        <f t="shared" si="20"/>
        <v>0</v>
      </c>
      <c r="BL125" s="1">
        <v>16</v>
      </c>
      <c r="BM125" s="1">
        <f t="shared" si="21"/>
        <v>0</v>
      </c>
      <c r="BN125" s="1">
        <v>14</v>
      </c>
      <c r="BO125" s="1">
        <v>120</v>
      </c>
    </row>
    <row r="126" spans="63:67" ht="12.75">
      <c r="BK126" s="1">
        <f t="shared" si="20"/>
        <v>0</v>
      </c>
      <c r="BL126" s="1">
        <v>16</v>
      </c>
      <c r="BM126" s="1">
        <f t="shared" si="21"/>
        <v>0</v>
      </c>
      <c r="BN126" s="1">
        <v>14</v>
      </c>
      <c r="BO126" s="1">
        <v>121</v>
      </c>
    </row>
    <row r="127" spans="63:67" ht="12.75">
      <c r="BK127" s="1">
        <f t="shared" si="20"/>
        <v>0</v>
      </c>
      <c r="BL127" s="1">
        <v>16</v>
      </c>
      <c r="BM127" s="1">
        <f t="shared" si="21"/>
        <v>0</v>
      </c>
      <c r="BN127" s="1">
        <v>14</v>
      </c>
      <c r="BO127" s="1">
        <v>122</v>
      </c>
    </row>
    <row r="128" spans="63:67" ht="12.75">
      <c r="BK128" s="1">
        <f t="shared" si="20"/>
        <v>0</v>
      </c>
      <c r="BL128" s="1">
        <v>16</v>
      </c>
      <c r="BM128" s="1">
        <f t="shared" si="21"/>
        <v>0</v>
      </c>
      <c r="BN128" s="1">
        <v>14</v>
      </c>
      <c r="BO128" s="1">
        <v>123</v>
      </c>
    </row>
    <row r="129" spans="63:67" ht="12.75">
      <c r="BK129" s="1">
        <f t="shared" si="20"/>
        <v>0</v>
      </c>
      <c r="BL129" s="1">
        <v>16</v>
      </c>
      <c r="BM129" s="1">
        <f t="shared" si="21"/>
        <v>0</v>
      </c>
      <c r="BN129" s="1">
        <v>14</v>
      </c>
      <c r="BO129" s="1">
        <v>124</v>
      </c>
    </row>
    <row r="130" spans="63:67" ht="12.75">
      <c r="BK130" s="1">
        <f t="shared" si="20"/>
        <v>0</v>
      </c>
      <c r="BL130" s="1">
        <v>16</v>
      </c>
      <c r="BM130" s="1">
        <f t="shared" si="21"/>
        <v>0</v>
      </c>
      <c r="BN130" s="1">
        <v>14</v>
      </c>
      <c r="BO130" s="1">
        <v>125</v>
      </c>
    </row>
    <row r="131" spans="63:67" ht="12.75">
      <c r="BK131" s="1">
        <f t="shared" si="20"/>
        <v>0</v>
      </c>
      <c r="BL131" s="1">
        <v>16</v>
      </c>
      <c r="BM131" s="1">
        <f t="shared" si="21"/>
        <v>0</v>
      </c>
      <c r="BN131" s="1">
        <v>15</v>
      </c>
      <c r="BO131" s="1">
        <v>126</v>
      </c>
    </row>
    <row r="132" spans="63:67" ht="12.75">
      <c r="BK132" s="1">
        <f t="shared" si="20"/>
        <v>0</v>
      </c>
      <c r="BL132" s="1">
        <v>16</v>
      </c>
      <c r="BM132" s="1">
        <f t="shared" si="21"/>
        <v>0</v>
      </c>
      <c r="BN132" s="1">
        <v>15</v>
      </c>
      <c r="BO132" s="1">
        <v>127</v>
      </c>
    </row>
    <row r="133" spans="63:67" ht="12.75">
      <c r="BK133" s="1">
        <f t="shared" si="20"/>
        <v>0</v>
      </c>
      <c r="BL133" s="1">
        <v>17</v>
      </c>
      <c r="BM133" s="1">
        <f t="shared" si="21"/>
        <v>0</v>
      </c>
      <c r="BN133" s="1">
        <v>15</v>
      </c>
      <c r="BO133" s="1">
        <v>128</v>
      </c>
    </row>
    <row r="134" spans="63:67" ht="12.75">
      <c r="BK134" s="1">
        <f aca="true" t="shared" si="22" ref="BK134:BK140">IF($BK$4=BO134,BL134,0)</f>
        <v>0</v>
      </c>
      <c r="BL134" s="1">
        <v>17</v>
      </c>
      <c r="BM134" s="1">
        <f aca="true" t="shared" si="23" ref="BM134:BM158">IF($BM$4=BO134,BN134,0)</f>
        <v>0</v>
      </c>
      <c r="BN134" s="1">
        <v>15</v>
      </c>
      <c r="BO134" s="1">
        <v>129</v>
      </c>
    </row>
    <row r="135" spans="63:67" ht="12.75">
      <c r="BK135" s="1">
        <f t="shared" si="22"/>
        <v>0</v>
      </c>
      <c r="BL135" s="1">
        <v>17</v>
      </c>
      <c r="BM135" s="1">
        <f t="shared" si="23"/>
        <v>0</v>
      </c>
      <c r="BN135" s="1">
        <v>15</v>
      </c>
      <c r="BO135" s="1">
        <v>130</v>
      </c>
    </row>
    <row r="136" spans="63:67" ht="12.75">
      <c r="BK136" s="1">
        <f t="shared" si="22"/>
        <v>0</v>
      </c>
      <c r="BL136" s="1">
        <v>17</v>
      </c>
      <c r="BM136" s="1">
        <f t="shared" si="23"/>
        <v>0</v>
      </c>
      <c r="BN136" s="1">
        <v>15</v>
      </c>
      <c r="BO136" s="1">
        <v>131</v>
      </c>
    </row>
    <row r="137" spans="63:67" ht="12.75">
      <c r="BK137" s="1">
        <f t="shared" si="22"/>
        <v>0</v>
      </c>
      <c r="BL137" s="1">
        <v>17</v>
      </c>
      <c r="BM137" s="1">
        <f t="shared" si="23"/>
        <v>0</v>
      </c>
      <c r="BN137" s="1">
        <v>15</v>
      </c>
      <c r="BO137" s="1">
        <v>132</v>
      </c>
    </row>
    <row r="138" spans="63:67" ht="12.75">
      <c r="BK138" s="1">
        <f t="shared" si="22"/>
        <v>0</v>
      </c>
      <c r="BL138" s="1">
        <v>17</v>
      </c>
      <c r="BM138" s="1">
        <f t="shared" si="23"/>
        <v>0</v>
      </c>
      <c r="BN138" s="1">
        <v>15</v>
      </c>
      <c r="BO138" s="1">
        <v>133</v>
      </c>
    </row>
    <row r="139" spans="63:67" ht="12.75">
      <c r="BK139" s="1">
        <f t="shared" si="22"/>
        <v>0</v>
      </c>
      <c r="BL139" s="1">
        <v>17</v>
      </c>
      <c r="BM139" s="1">
        <f t="shared" si="23"/>
        <v>0</v>
      </c>
      <c r="BN139" s="1">
        <v>15</v>
      </c>
      <c r="BO139" s="1">
        <v>134</v>
      </c>
    </row>
    <row r="140" spans="63:67" ht="12.75">
      <c r="BK140" s="1">
        <f t="shared" si="22"/>
        <v>0</v>
      </c>
      <c r="BL140" s="1">
        <v>17</v>
      </c>
      <c r="BM140" s="1">
        <f t="shared" si="23"/>
        <v>0</v>
      </c>
      <c r="BN140" s="1">
        <v>16</v>
      </c>
      <c r="BO140" s="1">
        <v>135</v>
      </c>
    </row>
    <row r="141" spans="63:67" ht="12.75">
      <c r="BK141" s="1">
        <f>IF($BK$4=BO141,BL141,0)</f>
        <v>0</v>
      </c>
      <c r="BL141" s="1">
        <v>17</v>
      </c>
      <c r="BM141" s="1">
        <f t="shared" si="23"/>
        <v>0</v>
      </c>
      <c r="BN141" s="1">
        <v>16</v>
      </c>
      <c r="BO141" s="1">
        <v>136</v>
      </c>
    </row>
    <row r="142" spans="65:67" ht="12.75">
      <c r="BM142" s="1">
        <f t="shared" si="23"/>
        <v>0</v>
      </c>
      <c r="BN142" s="1">
        <v>16</v>
      </c>
      <c r="BO142" s="1">
        <v>137</v>
      </c>
    </row>
    <row r="143" spans="65:67" ht="12.75">
      <c r="BM143" s="1">
        <f t="shared" si="23"/>
        <v>0</v>
      </c>
      <c r="BN143" s="1">
        <v>16</v>
      </c>
      <c r="BO143" s="1">
        <v>138</v>
      </c>
    </row>
    <row r="144" spans="65:67" ht="12.75">
      <c r="BM144" s="1">
        <f t="shared" si="23"/>
        <v>0</v>
      </c>
      <c r="BN144" s="1">
        <v>16</v>
      </c>
      <c r="BO144" s="1">
        <v>139</v>
      </c>
    </row>
    <row r="145" spans="65:67" ht="12.75">
      <c r="BM145" s="1">
        <f t="shared" si="23"/>
        <v>0</v>
      </c>
      <c r="BN145" s="1">
        <v>16</v>
      </c>
      <c r="BO145" s="1">
        <v>140</v>
      </c>
    </row>
    <row r="146" spans="65:67" ht="12.75">
      <c r="BM146" s="1">
        <f t="shared" si="23"/>
        <v>0</v>
      </c>
      <c r="BN146" s="1">
        <v>16</v>
      </c>
      <c r="BO146" s="1">
        <v>141</v>
      </c>
    </row>
    <row r="147" spans="65:67" ht="12.75">
      <c r="BM147" s="1">
        <f t="shared" si="23"/>
        <v>0</v>
      </c>
      <c r="BN147" s="1">
        <v>16</v>
      </c>
      <c r="BO147" s="1">
        <v>142</v>
      </c>
    </row>
    <row r="148" spans="65:67" ht="12.75">
      <c r="BM148" s="1">
        <f t="shared" si="23"/>
        <v>0</v>
      </c>
      <c r="BN148" s="1">
        <v>16</v>
      </c>
      <c r="BO148" s="1">
        <v>143</v>
      </c>
    </row>
    <row r="149" spans="65:67" ht="12.75">
      <c r="BM149" s="1">
        <f t="shared" si="23"/>
        <v>0</v>
      </c>
      <c r="BN149" s="1">
        <v>17</v>
      </c>
      <c r="BO149" s="1">
        <v>144</v>
      </c>
    </row>
    <row r="150" spans="65:67" ht="12.75">
      <c r="BM150" s="1">
        <f t="shared" si="23"/>
        <v>0</v>
      </c>
      <c r="BN150" s="1">
        <v>17</v>
      </c>
      <c r="BO150" s="1">
        <v>145</v>
      </c>
    </row>
    <row r="151" spans="65:67" ht="12.75">
      <c r="BM151" s="1">
        <f t="shared" si="23"/>
        <v>0</v>
      </c>
      <c r="BN151" s="1">
        <v>17</v>
      </c>
      <c r="BO151" s="1">
        <v>146</v>
      </c>
    </row>
    <row r="152" spans="65:67" ht="12.75">
      <c r="BM152" s="1">
        <f t="shared" si="23"/>
        <v>0</v>
      </c>
      <c r="BN152" s="1">
        <v>17</v>
      </c>
      <c r="BO152" s="1">
        <v>147</v>
      </c>
    </row>
    <row r="153" spans="65:67" ht="12.75">
      <c r="BM153" s="1">
        <f t="shared" si="23"/>
        <v>0</v>
      </c>
      <c r="BN153" s="1">
        <v>17</v>
      </c>
      <c r="BO153" s="1">
        <v>148</v>
      </c>
    </row>
    <row r="154" spans="65:67" ht="12.75">
      <c r="BM154" s="1">
        <f t="shared" si="23"/>
        <v>0</v>
      </c>
      <c r="BN154" s="1">
        <v>17</v>
      </c>
      <c r="BO154" s="1">
        <v>149</v>
      </c>
    </row>
    <row r="155" spans="65:67" ht="12.75">
      <c r="BM155" s="1">
        <f t="shared" si="23"/>
        <v>0</v>
      </c>
      <c r="BN155" s="1">
        <v>17</v>
      </c>
      <c r="BO155" s="1">
        <v>150</v>
      </c>
    </row>
    <row r="156" spans="65:67" ht="12.75">
      <c r="BM156" s="1">
        <f t="shared" si="23"/>
        <v>0</v>
      </c>
      <c r="BN156" s="1">
        <v>17</v>
      </c>
      <c r="BO156" s="1">
        <v>151</v>
      </c>
    </row>
    <row r="157" spans="65:67" ht="12.75">
      <c r="BM157" s="1">
        <f t="shared" si="23"/>
        <v>0</v>
      </c>
      <c r="BN157" s="1">
        <v>17</v>
      </c>
      <c r="BO157" s="1">
        <v>152</v>
      </c>
    </row>
    <row r="158" spans="65:67" ht="12.75">
      <c r="BM158" s="1">
        <f t="shared" si="23"/>
        <v>0</v>
      </c>
      <c r="BN158" s="1">
        <v>17</v>
      </c>
      <c r="BO158" s="1">
        <v>153</v>
      </c>
    </row>
    <row r="159" spans="63:67" ht="12.75">
      <c r="BK159" s="1">
        <f>SUM(BK5:BK141)</f>
        <v>0</v>
      </c>
      <c r="BM159" s="1">
        <f>SUM(BM5:BM158)</f>
        <v>1</v>
      </c>
      <c r="BO159" s="1">
        <f>IF(COUNTA($G$1)=1,$G$1,BK159+BM159)</f>
        <v>1</v>
      </c>
    </row>
  </sheetData>
  <mergeCells count="21">
    <mergeCell ref="B1:C1"/>
    <mergeCell ref="D1:E1"/>
    <mergeCell ref="F4:I4"/>
    <mergeCell ref="B4:E4"/>
    <mergeCell ref="R6:U6"/>
    <mergeCell ref="V6:Y6"/>
    <mergeCell ref="Z6:AC6"/>
    <mergeCell ref="J4:M4"/>
    <mergeCell ref="N4:Q4"/>
    <mergeCell ref="R4:U4"/>
    <mergeCell ref="V4:Y4"/>
    <mergeCell ref="B8:AK8"/>
    <mergeCell ref="AD6:AG6"/>
    <mergeCell ref="AH6:AK6"/>
    <mergeCell ref="Z4:AC4"/>
    <mergeCell ref="AD4:AG4"/>
    <mergeCell ref="AH4:AK4"/>
    <mergeCell ref="B6:E6"/>
    <mergeCell ref="F6:I6"/>
    <mergeCell ref="J6:M6"/>
    <mergeCell ref="N6:Q6"/>
  </mergeCells>
  <conditionalFormatting sqref="D1:E1">
    <cfRule type="expression" priority="1" dxfId="0" stopIfTrue="1">
      <formula>$G1&gt;0</formula>
    </cfRule>
  </conditionalFormatting>
  <conditionalFormatting sqref="F1">
    <cfRule type="expression" priority="2" dxfId="1" stopIfTrue="1">
      <formula>$G1&gt;0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360" verticalDpi="36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CC68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57421875" style="1" customWidth="1"/>
    <col min="3" max="3" width="22.00390625" style="0" customWidth="1"/>
    <col min="4" max="21" width="5.421875" style="0" customWidth="1"/>
    <col min="25" max="25" width="2.7109375" style="0" customWidth="1"/>
    <col min="26" max="26" width="11.421875" style="0" hidden="1" customWidth="1"/>
    <col min="27" max="27" width="5.57421875" style="1" hidden="1" customWidth="1"/>
    <col min="28" max="28" width="22.00390625" style="0" hidden="1" customWidth="1"/>
    <col min="29" max="46" width="5.421875" style="0" hidden="1" customWidth="1"/>
    <col min="47" max="51" width="11.421875" style="0" hidden="1" customWidth="1"/>
  </cols>
  <sheetData>
    <row r="2" spans="2:49" ht="24.75" customHeight="1">
      <c r="B2" s="82" t="str">
        <f>Eingabe!$G$3</f>
        <v>z. B. Monatsblitzturnier</v>
      </c>
      <c r="C2" s="12"/>
      <c r="D2" s="17"/>
      <c r="E2" s="17"/>
      <c r="F2" s="12"/>
      <c r="G2" s="32"/>
      <c r="H2" s="17"/>
      <c r="I2" s="17"/>
      <c r="J2" s="17"/>
      <c r="K2" s="17"/>
      <c r="L2" s="17"/>
      <c r="M2" s="17"/>
      <c r="N2" s="17"/>
      <c r="O2" s="17"/>
      <c r="P2" s="12"/>
      <c r="Q2" s="12"/>
      <c r="R2" s="12"/>
      <c r="S2" s="12"/>
      <c r="T2" s="12"/>
      <c r="U2" s="12"/>
      <c r="W2" s="33" t="s">
        <v>20</v>
      </c>
      <c r="X2" s="34" t="str">
        <f>X26</f>
        <v>??.??.????</v>
      </c>
      <c r="AA2" s="82"/>
      <c r="AB2" s="12"/>
      <c r="AC2" s="17"/>
      <c r="AD2" s="17"/>
      <c r="AE2" s="12"/>
      <c r="AF2" s="32"/>
      <c r="AG2" s="17"/>
      <c r="AH2" s="17"/>
      <c r="AI2" s="17"/>
      <c r="AJ2" s="17"/>
      <c r="AK2" s="17"/>
      <c r="AL2" s="17"/>
      <c r="AM2" s="17"/>
      <c r="AN2" s="17"/>
      <c r="AO2" s="12"/>
      <c r="AP2" s="12"/>
      <c r="AQ2" s="12"/>
      <c r="AR2" s="12"/>
      <c r="AS2" s="12"/>
      <c r="AT2" s="12"/>
      <c r="AV2" s="33"/>
      <c r="AW2" s="34"/>
    </row>
    <row r="3" spans="2:49" s="19" customFormat="1" ht="18.75" thickBot="1">
      <c r="B3" s="20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AA3" s="20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81" s="8" customFormat="1" ht="24.75" customHeight="1">
      <c r="A4" s="6"/>
      <c r="B4" s="21" t="s">
        <v>39</v>
      </c>
      <c r="C4" s="22" t="s">
        <v>40</v>
      </c>
      <c r="D4" s="67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24">
        <v>8</v>
      </c>
      <c r="L4" s="24">
        <v>9</v>
      </c>
      <c r="M4" s="24">
        <v>10</v>
      </c>
      <c r="N4" s="24">
        <v>11</v>
      </c>
      <c r="O4" s="24">
        <v>12</v>
      </c>
      <c r="P4" s="24">
        <v>13</v>
      </c>
      <c r="Q4" s="24">
        <v>14</v>
      </c>
      <c r="R4" s="24">
        <v>15</v>
      </c>
      <c r="S4" s="24">
        <v>16</v>
      </c>
      <c r="T4" s="24">
        <v>17</v>
      </c>
      <c r="U4" s="28">
        <v>18</v>
      </c>
      <c r="V4" s="21" t="s">
        <v>41</v>
      </c>
      <c r="W4" s="53" t="s">
        <v>42</v>
      </c>
      <c r="X4" s="23" t="s">
        <v>43</v>
      </c>
      <c r="Y4" s="9"/>
      <c r="Z4" s="9"/>
      <c r="AA4" s="21" t="s">
        <v>39</v>
      </c>
      <c r="AB4" s="22" t="s">
        <v>40</v>
      </c>
      <c r="AC4" s="67">
        <v>1</v>
      </c>
      <c r="AD4" s="24">
        <v>2</v>
      </c>
      <c r="AE4" s="24">
        <v>3</v>
      </c>
      <c r="AF4" s="24">
        <v>4</v>
      </c>
      <c r="AG4" s="24">
        <v>5</v>
      </c>
      <c r="AH4" s="24">
        <v>6</v>
      </c>
      <c r="AI4" s="24">
        <v>7</v>
      </c>
      <c r="AJ4" s="24">
        <v>8</v>
      </c>
      <c r="AK4" s="24">
        <v>9</v>
      </c>
      <c r="AL4" s="24">
        <v>10</v>
      </c>
      <c r="AM4" s="24">
        <v>11</v>
      </c>
      <c r="AN4" s="24">
        <v>12</v>
      </c>
      <c r="AO4" s="24">
        <v>13</v>
      </c>
      <c r="AP4" s="24">
        <v>14</v>
      </c>
      <c r="AQ4" s="24">
        <v>15</v>
      </c>
      <c r="AR4" s="24">
        <v>16</v>
      </c>
      <c r="AS4" s="24">
        <v>17</v>
      </c>
      <c r="AT4" s="28">
        <v>18</v>
      </c>
      <c r="AU4" s="21" t="s">
        <v>41</v>
      </c>
      <c r="AV4" s="53" t="s">
        <v>42</v>
      </c>
      <c r="AW4" s="23" t="s">
        <v>43</v>
      </c>
      <c r="AX4" s="9"/>
      <c r="AY4" s="117" t="s">
        <v>52</v>
      </c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</row>
    <row r="5" spans="2:81" ht="24.75" customHeight="1">
      <c r="B5" s="10">
        <v>1</v>
      </c>
      <c r="C5" s="26" t="str">
        <f aca="true" t="shared" si="0" ref="C5:C22">AB29</f>
        <v>Spieler 1</v>
      </c>
      <c r="D5" s="68"/>
      <c r="E5" s="57" t="str">
        <f aca="true" t="shared" si="1" ref="E5:U5">AD51</f>
        <v> </v>
      </c>
      <c r="F5" s="57" t="str">
        <f t="shared" si="1"/>
        <v> </v>
      </c>
      <c r="G5" s="57" t="str">
        <f t="shared" si="1"/>
        <v> </v>
      </c>
      <c r="H5" s="57" t="str">
        <f t="shared" si="1"/>
        <v> </v>
      </c>
      <c r="I5" s="57" t="str">
        <f t="shared" si="1"/>
        <v> </v>
      </c>
      <c r="J5" s="57" t="str">
        <f t="shared" si="1"/>
        <v> </v>
      </c>
      <c r="K5" s="57" t="str">
        <f t="shared" si="1"/>
        <v> </v>
      </c>
      <c r="L5" s="57" t="str">
        <f t="shared" si="1"/>
        <v> </v>
      </c>
      <c r="M5" s="57" t="str">
        <f t="shared" si="1"/>
        <v> </v>
      </c>
      <c r="N5" s="57" t="str">
        <f t="shared" si="1"/>
        <v> </v>
      </c>
      <c r="O5" s="57" t="str">
        <f t="shared" si="1"/>
        <v> </v>
      </c>
      <c r="P5" s="57" t="str">
        <f t="shared" si="1"/>
        <v> </v>
      </c>
      <c r="Q5" s="57" t="str">
        <f t="shared" si="1"/>
        <v> </v>
      </c>
      <c r="R5" s="57" t="str">
        <f t="shared" si="1"/>
        <v> </v>
      </c>
      <c r="S5" s="57" t="str">
        <f t="shared" si="1"/>
        <v> </v>
      </c>
      <c r="T5" s="57" t="str">
        <f t="shared" si="1"/>
        <v> </v>
      </c>
      <c r="U5" s="30" t="str">
        <f t="shared" si="1"/>
        <v> </v>
      </c>
      <c r="V5" s="79" t="str">
        <f aca="true" t="shared" si="2" ref="V5:V22">AU29</f>
        <v> </v>
      </c>
      <c r="W5" s="77">
        <f aca="true" t="shared" si="3" ref="W5:W22">AV29</f>
      </c>
      <c r="X5" s="61" t="str">
        <f aca="true" t="shared" si="4" ref="X5:X22">AW29</f>
        <v> </v>
      </c>
      <c r="Y5" s="2"/>
      <c r="Z5" s="2">
        <f>RANK(AY5,$AY$5:$AY$22,0)</f>
        <v>1</v>
      </c>
      <c r="AA5" s="10">
        <v>1</v>
      </c>
      <c r="AB5" s="26" t="str">
        <f>Eingabe!$C$6</f>
        <v>Spieler 1</v>
      </c>
      <c r="AC5" s="68" t="s">
        <v>26</v>
      </c>
      <c r="AD5" s="57" t="str">
        <f>'18 Spieler'!$AG$33</f>
        <v> </v>
      </c>
      <c r="AE5" s="57" t="str">
        <f>'18 Spieler'!$O$52</f>
        <v> </v>
      </c>
      <c r="AF5" s="57" t="str">
        <f>'18 Spieler'!$Y$32</f>
        <v> </v>
      </c>
      <c r="AG5" s="57" t="str">
        <f>'18 Spieler'!$G$53</f>
        <v> </v>
      </c>
      <c r="AH5" s="57" t="str">
        <f>'18 Spieler'!$Q$31</f>
        <v> </v>
      </c>
      <c r="AI5" s="57" t="str">
        <f>'18 Spieler'!$AM$41</f>
        <v> </v>
      </c>
      <c r="AJ5" s="57" t="str">
        <f>'18 Spieler'!$I$30</f>
        <v> </v>
      </c>
      <c r="AK5" s="57" t="str">
        <f>'18 Spieler'!$AE$42</f>
        <v> </v>
      </c>
      <c r="AL5" s="57" t="str">
        <f>'18 Spieler'!$AO$16</f>
        <v> </v>
      </c>
      <c r="AM5" s="57" t="str">
        <f>'18 Spieler'!$W$43</f>
        <v> </v>
      </c>
      <c r="AN5" s="57" t="str">
        <f>'18 Spieler'!$AG$15</f>
        <v> </v>
      </c>
      <c r="AO5" s="57" t="str">
        <f>'18 Spieler'!$O$44</f>
        <v> </v>
      </c>
      <c r="AP5" s="57" t="str">
        <f>'18 Spieler'!$Y$14</f>
        <v> </v>
      </c>
      <c r="AQ5" s="57" t="str">
        <f>'18 Spieler'!$G$45</f>
        <v> </v>
      </c>
      <c r="AR5" s="57" t="str">
        <f>'18 Spieler'!$Q$13</f>
        <v> </v>
      </c>
      <c r="AS5" s="57" t="str">
        <f>'18 Spieler'!$AM$33</f>
        <v> </v>
      </c>
      <c r="AT5" s="30" t="str">
        <f>'18 Spieler'!$G$12</f>
        <v> </v>
      </c>
      <c r="AU5" s="79" t="str">
        <f aca="true" t="shared" si="5" ref="AU5:AU22">IF(COUNT($D$46,$E$45,$F$44,$G$43,$H$42,$I$41,$J$40,$K$39,$L$38,$M$37,$N$36,$O$35,$P$34,$Q$33,$R$32,$S$31,$T$30,$U$29)&gt;0,SUM(AC5:AT5)," ")</f>
        <v> </v>
      </c>
      <c r="AV5" s="77">
        <f aca="true" t="shared" si="6" ref="AV5:AV22">IF(COUNT($D$46,$E$45,$F$44,$G$43,$H$42,$I$41,$J$40,$K$39,$L$38,$M$37,$N$36,$O$35,$P$34,$Q$33,$R$32,$S$31,$T$30,$U$29)&gt;0,IF(OR(AC5=1,AC5=0.5),AC5*$V$29,0)+IF(OR(AD5=1,AD5=0.5),AD5*$V$30,0)+IF(OR(AE5=1,AE5=0.5),AE5*$V$31,0)+IF(OR(AF5=1,AF5=0.5),AF5*$V$32,0)+IF(OR(AG5=1,AG5=0.5),AG5*$V$33,0)+IF(OR(AH5=1,AH5=0.5),AH5*$V$34,0)+IF(OR(AI5=1,AI5=0.5),AI5*$V$35,0)+IF(OR(AJ5=1,AJ5=0.5),AJ5*$V$36,0)+IF(OR(AK5=1,AK5=0.5),AK5*$V$37,0)+IF(OR(AL5=1,AL5=0.5),AL5*$V$38,0)+IF(OR(AM5=1,AM5=0.5),AM5*$V$39,0)+IF(OR(AN5=1,AN5=0.5),AN5*$V$40,0)+IF(OR(AO5=1,AO5=0.5),AO5*$V$41,0)+IF(OR(AP5=1,AP5=0.5),AP5*$V$42,0)+IF(OR(AQ5=1,AQ5=0.5),AQ5*$V$43,0)+IF(OR(AR5=1,AR5=0.5),AR5*$V$44,0)+IF(OR(AS5=1,AS5=0.5),AS5*$V$45,0)+IF(OR(AT5=1,AT5=0.5),AT5*$V$46,0),"")</f>
      </c>
      <c r="AW5" s="61" t="str">
        <f>IF('Tabelle 18'!$C$5=AB5,'Tabelle 18'!$R$5,"")&amp;IF('Tabelle 18'!$C$6=AB5,'Tabelle 18'!$R$6,"")&amp;IF('Tabelle 18'!$C$7=AB5,'Tabelle 18'!$R$7,"")&amp;IF('Tabelle 18'!$C$8=AB5,'Tabelle 18'!$R$8,"")&amp;IF('Tabelle 18'!$C$9=AB5,'Tabelle 18'!$R$9,"")&amp;IF('Tabelle 18'!$C$10=AB5,'Tabelle 18'!$R$10,"")&amp;IF('Tabelle 18'!$C$11=AB5,'Tabelle 18'!$R$11,"")&amp;IF('Tabelle 18'!$C$12=AB5,'Tabelle 18'!$R$12,"")&amp;IF('Tabelle 18'!$C$13=AB5,'Tabelle 18'!$R$13,"")&amp;IF('Tabelle 18'!$C$14=AB5,'Tabelle 18'!$R$14,"")&amp;IF('Tabelle 18'!$C$15=AB5,'Tabelle 18'!$R$15,"")&amp;IF('Tabelle 18'!$C$16=AB5,'Tabelle 18'!$R$16,"")&amp;IF('Tabelle 18'!$C$17=AB5,'Tabelle 18'!$R$17,"")&amp;IF('Tabelle 18'!$C$18=AB5,'Tabelle 18'!$R$18,"")&amp;IF('Tabelle 18'!$C$19=AB5,'Tabelle 18'!$R$19,"")&amp;IF('Tabelle 18'!$C$20=AB5,'Tabelle 18'!$R$20,"")&amp;IF('Tabelle 18'!$C$21=AB5,'Tabelle 18'!$R$21,"")&amp;IF('Tabelle 18'!$C$22=AB5,'Tabelle 18'!$R$22,"")</f>
        <v> </v>
      </c>
      <c r="AX5" s="118">
        <v>1</v>
      </c>
      <c r="AY5" s="3">
        <f>'Tabelle 18'!N5</f>
        <v>0.18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2:81" ht="24.75" customHeight="1">
      <c r="B6" s="10">
        <v>2</v>
      </c>
      <c r="C6" s="26" t="str">
        <f t="shared" si="0"/>
        <v>Spieler 2</v>
      </c>
      <c r="D6" s="57" t="str">
        <f aca="true" t="shared" si="7" ref="D6:D22">AC52</f>
        <v> </v>
      </c>
      <c r="E6" s="68"/>
      <c r="F6" s="57" t="str">
        <f aca="true" t="shared" si="8" ref="F6:U6">AE52</f>
        <v> </v>
      </c>
      <c r="G6" s="57" t="str">
        <f t="shared" si="8"/>
        <v> </v>
      </c>
      <c r="H6" s="57" t="str">
        <f t="shared" si="8"/>
        <v> </v>
      </c>
      <c r="I6" s="57" t="str">
        <f t="shared" si="8"/>
        <v> </v>
      </c>
      <c r="J6" s="57" t="str">
        <f t="shared" si="8"/>
        <v> </v>
      </c>
      <c r="K6" s="57" t="str">
        <f t="shared" si="8"/>
        <v> </v>
      </c>
      <c r="L6" s="57" t="str">
        <f t="shared" si="8"/>
        <v> </v>
      </c>
      <c r="M6" s="57" t="str">
        <f t="shared" si="8"/>
        <v> </v>
      </c>
      <c r="N6" s="57" t="str">
        <f t="shared" si="8"/>
        <v> </v>
      </c>
      <c r="O6" s="57" t="str">
        <f t="shared" si="8"/>
        <v> </v>
      </c>
      <c r="P6" s="57" t="str">
        <f t="shared" si="8"/>
        <v> </v>
      </c>
      <c r="Q6" s="57" t="str">
        <f t="shared" si="8"/>
        <v> </v>
      </c>
      <c r="R6" s="57" t="str">
        <f t="shared" si="8"/>
        <v> </v>
      </c>
      <c r="S6" s="57" t="str">
        <f t="shared" si="8"/>
        <v> </v>
      </c>
      <c r="T6" s="57" t="str">
        <f t="shared" si="8"/>
        <v> </v>
      </c>
      <c r="U6" s="30" t="str">
        <f t="shared" si="8"/>
        <v> </v>
      </c>
      <c r="V6" s="79" t="str">
        <f t="shared" si="2"/>
        <v> </v>
      </c>
      <c r="W6" s="77">
        <f t="shared" si="3"/>
      </c>
      <c r="X6" s="61" t="str">
        <f t="shared" si="4"/>
        <v> </v>
      </c>
      <c r="Y6" s="2"/>
      <c r="Z6" s="2">
        <f aca="true" t="shared" si="9" ref="Z6:Z22">RANK(AY6,$AY$5:$AY$22,0)</f>
        <v>2</v>
      </c>
      <c r="AA6" s="10">
        <v>2</v>
      </c>
      <c r="AB6" s="26" t="str">
        <f>Eingabe!$C$7</f>
        <v>Spieler 2</v>
      </c>
      <c r="AC6" s="57" t="str">
        <f>'18 Spieler'!$AE$33</f>
        <v> </v>
      </c>
      <c r="AD6" s="68" t="s">
        <v>26</v>
      </c>
      <c r="AE6" s="57" t="str">
        <f>'18 Spieler'!$Y$33</f>
        <v> </v>
      </c>
      <c r="AF6" s="57" t="str">
        <f>'18 Spieler'!$G$52</f>
        <v> </v>
      </c>
      <c r="AG6" s="57" t="str">
        <f>'18 Spieler'!$Q$32</f>
        <v> </v>
      </c>
      <c r="AH6" s="57" t="str">
        <f>'18 Spieler'!$AM$40</f>
        <v> </v>
      </c>
      <c r="AI6" s="57" t="str">
        <f>'18 Spieler'!$I$31</f>
        <v> </v>
      </c>
      <c r="AJ6" s="57" t="str">
        <f>'18 Spieler'!$AE$41</f>
        <v> </v>
      </c>
      <c r="AK6" s="57" t="str">
        <f>'18 Spieler'!$AO$17</f>
        <v> </v>
      </c>
      <c r="AL6" s="57" t="str">
        <f>'18 Spieler'!$W$42</f>
        <v> </v>
      </c>
      <c r="AM6" s="57" t="str">
        <f>'18 Spieler'!$AG$16</f>
        <v> </v>
      </c>
      <c r="AN6" s="57" t="str">
        <f>'18 Spieler'!$O$43</f>
        <v> </v>
      </c>
      <c r="AO6" s="57" t="str">
        <f>'18 Spieler'!$Y$15</f>
        <v> </v>
      </c>
      <c r="AP6" s="57" t="str">
        <f>'18 Spieler'!$G$44</f>
        <v> </v>
      </c>
      <c r="AQ6" s="57" t="str">
        <f>'18 Spieler'!$Q$14</f>
        <v> </v>
      </c>
      <c r="AR6" s="57" t="str">
        <f>'18 Spieler'!$AM$32</f>
        <v> </v>
      </c>
      <c r="AS6" s="57" t="str">
        <f>'18 Spieler'!$I$13</f>
        <v> </v>
      </c>
      <c r="AT6" s="30" t="str">
        <f>'18 Spieler'!$O$51</f>
        <v> </v>
      </c>
      <c r="AU6" s="79" t="str">
        <f t="shared" si="5"/>
        <v> </v>
      </c>
      <c r="AV6" s="77">
        <f t="shared" si="6"/>
      </c>
      <c r="AW6" s="61" t="str">
        <f>IF('Tabelle 18'!$C$5=AB6,'Tabelle 18'!$R$5,"")&amp;IF('Tabelle 18'!$C$6=AB6,'Tabelle 18'!$R$6,"")&amp;IF('Tabelle 18'!$C$7=AB6,'Tabelle 18'!$R$7,"")&amp;IF('Tabelle 18'!$C$8=AB6,'Tabelle 18'!$R$8,"")&amp;IF('Tabelle 18'!$C$9=AB6,'Tabelle 18'!$R$9,"")&amp;IF('Tabelle 18'!$C$10=AB6,'Tabelle 18'!$R$10,"")&amp;IF('Tabelle 18'!$C$11=AB6,'Tabelle 18'!$R$11,"")&amp;IF('Tabelle 18'!$C$12=AB6,'Tabelle 18'!$R$12,"")&amp;IF('Tabelle 18'!$C$13=AB6,'Tabelle 18'!$R$13,"")&amp;IF('Tabelle 18'!$C$14=AB6,'Tabelle 18'!$R$14,"")&amp;IF('Tabelle 18'!$C$15=AB6,'Tabelle 18'!$R$15,"")&amp;IF('Tabelle 18'!$C$16=AB6,'Tabelle 18'!$R$16,"")&amp;IF('Tabelle 18'!$C$17=AB6,'Tabelle 18'!$R$17,"")&amp;IF('Tabelle 18'!$C$18=AB6,'Tabelle 18'!$R$18,"")&amp;IF('Tabelle 18'!$C$19=AB6,'Tabelle 18'!$R$19,"")&amp;IF('Tabelle 18'!$C$20=AB6,'Tabelle 18'!$R$20,"")&amp;IF('Tabelle 18'!$C$21=AB6,'Tabelle 18'!$R$21,"")&amp;IF('Tabelle 18'!$C$22=AB6,'Tabelle 18'!$R$22,"")</f>
        <v> </v>
      </c>
      <c r="AX6" s="118">
        <v>2</v>
      </c>
      <c r="AY6" s="3">
        <f>'Tabelle 18'!N6</f>
        <v>0.17</v>
      </c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2:81" ht="24.75" customHeight="1">
      <c r="B7" s="10">
        <v>3</v>
      </c>
      <c r="C7" s="26" t="str">
        <f t="shared" si="0"/>
        <v>Spieler 3</v>
      </c>
      <c r="D7" s="57" t="str">
        <f t="shared" si="7"/>
        <v> </v>
      </c>
      <c r="E7" s="57" t="str">
        <f aca="true" t="shared" si="10" ref="E7:E22">AD53</f>
        <v> </v>
      </c>
      <c r="F7" s="68"/>
      <c r="G7" s="57" t="str">
        <f aca="true" t="shared" si="11" ref="G7:U7">AF53</f>
        <v> </v>
      </c>
      <c r="H7" s="57" t="str">
        <f t="shared" si="11"/>
        <v> </v>
      </c>
      <c r="I7" s="57" t="str">
        <f t="shared" si="11"/>
        <v> </v>
      </c>
      <c r="J7" s="57" t="str">
        <f t="shared" si="11"/>
        <v> </v>
      </c>
      <c r="K7" s="57" t="str">
        <f t="shared" si="11"/>
        <v> </v>
      </c>
      <c r="L7" s="57" t="str">
        <f t="shared" si="11"/>
        <v> </v>
      </c>
      <c r="M7" s="57" t="str">
        <f t="shared" si="11"/>
        <v> </v>
      </c>
      <c r="N7" s="57" t="str">
        <f t="shared" si="11"/>
        <v> </v>
      </c>
      <c r="O7" s="57" t="str">
        <f t="shared" si="11"/>
        <v> </v>
      </c>
      <c r="P7" s="57" t="str">
        <f t="shared" si="11"/>
        <v> </v>
      </c>
      <c r="Q7" s="57" t="str">
        <f t="shared" si="11"/>
        <v> </v>
      </c>
      <c r="R7" s="57" t="str">
        <f t="shared" si="11"/>
        <v> </v>
      </c>
      <c r="S7" s="57" t="str">
        <f t="shared" si="11"/>
        <v> </v>
      </c>
      <c r="T7" s="57" t="str">
        <f t="shared" si="11"/>
        <v> </v>
      </c>
      <c r="U7" s="30" t="str">
        <f t="shared" si="11"/>
        <v> </v>
      </c>
      <c r="V7" s="79" t="str">
        <f t="shared" si="2"/>
        <v> </v>
      </c>
      <c r="W7" s="77">
        <f t="shared" si="3"/>
      </c>
      <c r="X7" s="61" t="str">
        <f t="shared" si="4"/>
        <v> </v>
      </c>
      <c r="Y7" s="2"/>
      <c r="Z7" s="2">
        <f t="shared" si="9"/>
        <v>3</v>
      </c>
      <c r="AA7" s="10">
        <v>3</v>
      </c>
      <c r="AB7" s="26" t="str">
        <f>Eingabe!$C$8</f>
        <v>Spieler 3</v>
      </c>
      <c r="AC7" s="57" t="str">
        <f>'18 Spieler'!$Q$52</f>
        <v> </v>
      </c>
      <c r="AD7" s="57" t="str">
        <f>'18 Spieler'!$W$33</f>
        <v> </v>
      </c>
      <c r="AE7" s="68" t="s">
        <v>26</v>
      </c>
      <c r="AF7" s="57" t="str">
        <f>'18 Spieler'!$Q$33</f>
        <v> </v>
      </c>
      <c r="AG7" s="57" t="str">
        <f>'18 Spieler'!$AM$39</f>
        <v> </v>
      </c>
      <c r="AH7" s="57" t="str">
        <f>'18 Spieler'!$I$32</f>
        <v> </v>
      </c>
      <c r="AI7" s="57" t="str">
        <f>'18 Spieler'!$AE$40</f>
        <v> </v>
      </c>
      <c r="AJ7" s="57" t="str">
        <f>'18 Spieler'!$AO$18</f>
        <v> </v>
      </c>
      <c r="AK7" s="57" t="str">
        <f>'18 Spieler'!$W$41</f>
        <v> </v>
      </c>
      <c r="AL7" s="57" t="str">
        <f>'18 Spieler'!$AG$17</f>
        <v> </v>
      </c>
      <c r="AM7" s="57" t="str">
        <f>'18 Spieler'!$O$42</f>
        <v> </v>
      </c>
      <c r="AN7" s="57" t="str">
        <f>'18 Spieler'!$Y$16</f>
        <v> </v>
      </c>
      <c r="AO7" s="57" t="str">
        <f>'18 Spieler'!$G$43</f>
        <v> </v>
      </c>
      <c r="AP7" s="57" t="str">
        <f>'18 Spieler'!$Q$15</f>
        <v> </v>
      </c>
      <c r="AQ7" s="57" t="str">
        <f>'18 Spieler'!$AM$31</f>
        <v> </v>
      </c>
      <c r="AR7" s="57" t="str">
        <f>'18 Spieler'!$I$14</f>
        <v> </v>
      </c>
      <c r="AS7" s="57" t="str">
        <f>'18 Spieler'!$AE$32</f>
        <v> </v>
      </c>
      <c r="AT7" s="30" t="str">
        <f>'18 Spieler'!$G$51</f>
        <v> </v>
      </c>
      <c r="AU7" s="79" t="str">
        <f t="shared" si="5"/>
        <v> </v>
      </c>
      <c r="AV7" s="77">
        <f t="shared" si="6"/>
      </c>
      <c r="AW7" s="61" t="str">
        <f>IF('Tabelle 18'!$C$5=AB7,'Tabelle 18'!$R$5,"")&amp;IF('Tabelle 18'!$C$6=AB7,'Tabelle 18'!$R$6,"")&amp;IF('Tabelle 18'!$C$7=AB7,'Tabelle 18'!$R$7,"")&amp;IF('Tabelle 18'!$C$8=AB7,'Tabelle 18'!$R$8,"")&amp;IF('Tabelle 18'!$C$9=AB7,'Tabelle 18'!$R$9,"")&amp;IF('Tabelle 18'!$C$10=AB7,'Tabelle 18'!$R$10,"")&amp;IF('Tabelle 18'!$C$11=AB7,'Tabelle 18'!$R$11,"")&amp;IF('Tabelle 18'!$C$12=AB7,'Tabelle 18'!$R$12,"")&amp;IF('Tabelle 18'!$C$13=AB7,'Tabelle 18'!$R$13,"")&amp;IF('Tabelle 18'!$C$14=AB7,'Tabelle 18'!$R$14,"")&amp;IF('Tabelle 18'!$C$15=AB7,'Tabelle 18'!$R$15,"")&amp;IF('Tabelle 18'!$C$16=AB7,'Tabelle 18'!$R$16,"")&amp;IF('Tabelle 18'!$C$17=AB7,'Tabelle 18'!$R$17,"")&amp;IF('Tabelle 18'!$C$18=AB7,'Tabelle 18'!$R$18,"")&amp;IF('Tabelle 18'!$C$19=AB7,'Tabelle 18'!$R$19,"")&amp;IF('Tabelle 18'!$C$20=AB7,'Tabelle 18'!$R$20,"")&amp;IF('Tabelle 18'!$C$21=AB7,'Tabelle 18'!$R$21,"")&amp;IF('Tabelle 18'!$C$22=AB7,'Tabelle 18'!$R$22,"")</f>
        <v> </v>
      </c>
      <c r="AX7" s="118">
        <v>3</v>
      </c>
      <c r="AY7" s="3">
        <f>'Tabelle 18'!N7</f>
        <v>0.16</v>
      </c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2:81" ht="24.75" customHeight="1">
      <c r="B8" s="10">
        <v>4</v>
      </c>
      <c r="C8" s="26" t="str">
        <f t="shared" si="0"/>
        <v>Spieler 4</v>
      </c>
      <c r="D8" s="57" t="str">
        <f t="shared" si="7"/>
        <v> </v>
      </c>
      <c r="E8" s="57" t="str">
        <f t="shared" si="10"/>
        <v> </v>
      </c>
      <c r="F8" s="57" t="str">
        <f aca="true" t="shared" si="12" ref="F8:F22">AE54</f>
        <v> </v>
      </c>
      <c r="G8" s="68"/>
      <c r="H8" s="57" t="str">
        <f aca="true" t="shared" si="13" ref="H8:U8">AG54</f>
        <v> </v>
      </c>
      <c r="I8" s="57" t="str">
        <f t="shared" si="13"/>
        <v> </v>
      </c>
      <c r="J8" s="57" t="str">
        <f t="shared" si="13"/>
        <v> </v>
      </c>
      <c r="K8" s="57" t="str">
        <f t="shared" si="13"/>
        <v> </v>
      </c>
      <c r="L8" s="57" t="str">
        <f t="shared" si="13"/>
        <v> </v>
      </c>
      <c r="M8" s="57" t="str">
        <f t="shared" si="13"/>
        <v> </v>
      </c>
      <c r="N8" s="57" t="str">
        <f t="shared" si="13"/>
        <v> </v>
      </c>
      <c r="O8" s="57" t="str">
        <f t="shared" si="13"/>
        <v> </v>
      </c>
      <c r="P8" s="57" t="str">
        <f t="shared" si="13"/>
        <v> </v>
      </c>
      <c r="Q8" s="57" t="str">
        <f t="shared" si="13"/>
        <v> </v>
      </c>
      <c r="R8" s="57" t="str">
        <f t="shared" si="13"/>
        <v> </v>
      </c>
      <c r="S8" s="57" t="str">
        <f t="shared" si="13"/>
        <v> </v>
      </c>
      <c r="T8" s="57" t="str">
        <f t="shared" si="13"/>
        <v> </v>
      </c>
      <c r="U8" s="30" t="str">
        <f t="shared" si="13"/>
        <v> </v>
      </c>
      <c r="V8" s="79" t="str">
        <f t="shared" si="2"/>
        <v> </v>
      </c>
      <c r="W8" s="77">
        <f t="shared" si="3"/>
      </c>
      <c r="X8" s="61" t="str">
        <f t="shared" si="4"/>
        <v> </v>
      </c>
      <c r="Y8" s="2"/>
      <c r="Z8" s="2">
        <f t="shared" si="9"/>
        <v>4</v>
      </c>
      <c r="AA8" s="10">
        <v>4</v>
      </c>
      <c r="AB8" s="26" t="str">
        <f>Eingabe!$C$9</f>
        <v>Spieler 4</v>
      </c>
      <c r="AC8" s="57" t="str">
        <f>'18 Spieler'!$W$32</f>
        <v> </v>
      </c>
      <c r="AD8" s="57" t="str">
        <f>'18 Spieler'!$I$52</f>
        <v> </v>
      </c>
      <c r="AE8" s="57" t="str">
        <f>'18 Spieler'!$O$33</f>
        <v> </v>
      </c>
      <c r="AF8" s="68" t="s">
        <v>26</v>
      </c>
      <c r="AG8" s="57" t="str">
        <f>'18 Spieler'!$I$33</f>
        <v> </v>
      </c>
      <c r="AH8" s="57" t="str">
        <f>'18 Spieler'!$AE$39</f>
        <v> </v>
      </c>
      <c r="AI8" s="57" t="str">
        <f>'18 Spieler'!$AO$19</f>
        <v> </v>
      </c>
      <c r="AJ8" s="57" t="str">
        <f>'18 Spieler'!$W$40</f>
        <v> </v>
      </c>
      <c r="AK8" s="57" t="str">
        <f>'18 Spieler'!$AG$18</f>
        <v> </v>
      </c>
      <c r="AL8" s="57" t="str">
        <f>'18 Spieler'!$O$41</f>
        <v> </v>
      </c>
      <c r="AM8" s="57" t="str">
        <f>'18 Spieler'!$Y$17</f>
        <v> </v>
      </c>
      <c r="AN8" s="57" t="str">
        <f>'18 Spieler'!$G$42</f>
        <v> </v>
      </c>
      <c r="AO8" s="57" t="str">
        <f>'18 Spieler'!$Q$16</f>
        <v> </v>
      </c>
      <c r="AP8" s="57" t="str">
        <f>'18 Spieler'!$AM$30</f>
        <v> </v>
      </c>
      <c r="AQ8" s="57" t="str">
        <f>'18 Spieler'!$I$15</f>
        <v> </v>
      </c>
      <c r="AR8" s="57" t="str">
        <f>'18 Spieler'!$AE$31</f>
        <v> </v>
      </c>
      <c r="AS8" s="57" t="str">
        <f>'18 Spieler'!$Q$53</f>
        <v> </v>
      </c>
      <c r="AT8" s="30" t="str">
        <f>'18 Spieler'!$AM$38</f>
        <v> </v>
      </c>
      <c r="AU8" s="79" t="str">
        <f t="shared" si="5"/>
        <v> </v>
      </c>
      <c r="AV8" s="77">
        <f t="shared" si="6"/>
      </c>
      <c r="AW8" s="61" t="str">
        <f>IF('Tabelle 18'!$C$5=AB8,'Tabelle 18'!$R$5,"")&amp;IF('Tabelle 18'!$C$6=AB8,'Tabelle 18'!$R$6,"")&amp;IF('Tabelle 18'!$C$7=AB8,'Tabelle 18'!$R$7,"")&amp;IF('Tabelle 18'!$C$8=AB8,'Tabelle 18'!$R$8,"")&amp;IF('Tabelle 18'!$C$9=AB8,'Tabelle 18'!$R$9,"")&amp;IF('Tabelle 18'!$C$10=AB8,'Tabelle 18'!$R$10,"")&amp;IF('Tabelle 18'!$C$11=AB8,'Tabelle 18'!$R$11,"")&amp;IF('Tabelle 18'!$C$12=AB8,'Tabelle 18'!$R$12,"")&amp;IF('Tabelle 18'!$C$13=AB8,'Tabelle 18'!$R$13,"")&amp;IF('Tabelle 18'!$C$14=AB8,'Tabelle 18'!$R$14,"")&amp;IF('Tabelle 18'!$C$15=AB8,'Tabelle 18'!$R$15,"")&amp;IF('Tabelle 18'!$C$16=AB8,'Tabelle 18'!$R$16,"")&amp;IF('Tabelle 18'!$C$17=AB8,'Tabelle 18'!$R$17,"")&amp;IF('Tabelle 18'!$C$18=AB8,'Tabelle 18'!$R$18,"")&amp;IF('Tabelle 18'!$C$19=AB8,'Tabelle 18'!$R$19,"")&amp;IF('Tabelle 18'!$C$20=AB8,'Tabelle 18'!$R$20,"")&amp;IF('Tabelle 18'!$C$21=AB8,'Tabelle 18'!$R$21,"")&amp;IF('Tabelle 18'!$C$22=AB8,'Tabelle 18'!$R$22,"")</f>
        <v> </v>
      </c>
      <c r="AX8" s="119">
        <v>4</v>
      </c>
      <c r="AY8" s="3">
        <f>'Tabelle 18'!N8</f>
        <v>0.15</v>
      </c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2:81" ht="24.75" customHeight="1">
      <c r="B9" s="10">
        <v>5</v>
      </c>
      <c r="C9" s="26" t="str">
        <f t="shared" si="0"/>
        <v>Spieler 5</v>
      </c>
      <c r="D9" s="57" t="str">
        <f t="shared" si="7"/>
        <v> </v>
      </c>
      <c r="E9" s="57" t="str">
        <f t="shared" si="10"/>
        <v> </v>
      </c>
      <c r="F9" s="57" t="str">
        <f t="shared" si="12"/>
        <v> </v>
      </c>
      <c r="G9" s="57" t="str">
        <f aca="true" t="shared" si="14" ref="G9:G22">AF55</f>
        <v> </v>
      </c>
      <c r="H9" s="68"/>
      <c r="I9" s="57" t="str">
        <f aca="true" t="shared" si="15" ref="I9:U9">AH55</f>
        <v> </v>
      </c>
      <c r="J9" s="57" t="str">
        <f t="shared" si="15"/>
        <v> </v>
      </c>
      <c r="K9" s="57" t="str">
        <f t="shared" si="15"/>
        <v> </v>
      </c>
      <c r="L9" s="57" t="str">
        <f t="shared" si="15"/>
        <v> </v>
      </c>
      <c r="M9" s="57" t="str">
        <f t="shared" si="15"/>
        <v> </v>
      </c>
      <c r="N9" s="57" t="str">
        <f t="shared" si="15"/>
        <v> </v>
      </c>
      <c r="O9" s="57" t="str">
        <f t="shared" si="15"/>
        <v> </v>
      </c>
      <c r="P9" s="57" t="str">
        <f t="shared" si="15"/>
        <v> </v>
      </c>
      <c r="Q9" s="57" t="str">
        <f t="shared" si="15"/>
        <v> </v>
      </c>
      <c r="R9" s="57" t="str">
        <f t="shared" si="15"/>
        <v> </v>
      </c>
      <c r="S9" s="57" t="str">
        <f t="shared" si="15"/>
        <v> </v>
      </c>
      <c r="T9" s="57" t="str">
        <f t="shared" si="15"/>
        <v> </v>
      </c>
      <c r="U9" s="30" t="str">
        <f t="shared" si="15"/>
        <v> </v>
      </c>
      <c r="V9" s="79" t="str">
        <f t="shared" si="2"/>
        <v> </v>
      </c>
      <c r="W9" s="77">
        <f t="shared" si="3"/>
      </c>
      <c r="X9" s="61" t="str">
        <f t="shared" si="4"/>
        <v> </v>
      </c>
      <c r="Y9" s="2"/>
      <c r="Z9" s="2">
        <f t="shared" si="9"/>
        <v>5</v>
      </c>
      <c r="AA9" s="10">
        <v>5</v>
      </c>
      <c r="AB9" s="26" t="str">
        <f>Eingabe!$C$10</f>
        <v>Spieler 5</v>
      </c>
      <c r="AC9" s="57" t="str">
        <f>'18 Spieler'!$I$53</f>
        <v> </v>
      </c>
      <c r="AD9" s="57" t="str">
        <f>'18 Spieler'!$O$32</f>
        <v> </v>
      </c>
      <c r="AE9" s="57" t="str">
        <f>'18 Spieler'!$AO$39</f>
        <v> </v>
      </c>
      <c r="AF9" s="57" t="str">
        <f>'18 Spieler'!$G$33</f>
        <v> </v>
      </c>
      <c r="AG9" s="68" t="s">
        <v>26</v>
      </c>
      <c r="AH9" s="57" t="str">
        <f>'18 Spieler'!$AO$20</f>
        <v> </v>
      </c>
      <c r="AI9" s="57" t="str">
        <f>'18 Spieler'!$W$39</f>
        <v> </v>
      </c>
      <c r="AJ9" s="57" t="str">
        <f>'18 Spieler'!$AG$19</f>
        <v> </v>
      </c>
      <c r="AK9" s="57" t="str">
        <f>'18 Spieler'!$O$40</f>
        <v> </v>
      </c>
      <c r="AL9" s="57" t="str">
        <f>'18 Spieler'!$Y$18</f>
        <v> </v>
      </c>
      <c r="AM9" s="57" t="str">
        <f>'18 Spieler'!$G$41</f>
        <v> </v>
      </c>
      <c r="AN9" s="57" t="str">
        <f>'18 Spieler'!$Q$17</f>
        <v> </v>
      </c>
      <c r="AO9" s="57" t="str">
        <f>'18 Spieler'!$AM$29</f>
        <v> </v>
      </c>
      <c r="AP9" s="57" t="str">
        <f>'18 Spieler'!$I$16</f>
        <v> </v>
      </c>
      <c r="AQ9" s="57" t="str">
        <f>'18 Spieler'!$AE$30</f>
        <v> </v>
      </c>
      <c r="AR9" s="57" t="str">
        <f>'18 Spieler'!$Q$54</f>
        <v> </v>
      </c>
      <c r="AS9" s="57" t="str">
        <f>'18 Spieler'!$W$31</f>
        <v> </v>
      </c>
      <c r="AT9" s="30" t="str">
        <f>'18 Spieler'!$AE$38</f>
        <v> </v>
      </c>
      <c r="AU9" s="79" t="str">
        <f t="shared" si="5"/>
        <v> </v>
      </c>
      <c r="AV9" s="77">
        <f t="shared" si="6"/>
      </c>
      <c r="AW9" s="61" t="str">
        <f>IF('Tabelle 18'!$C$5=AB9,'Tabelle 18'!$R$5,"")&amp;IF('Tabelle 18'!$C$6=AB9,'Tabelle 18'!$R$6,"")&amp;IF('Tabelle 18'!$C$7=AB9,'Tabelle 18'!$R$7,"")&amp;IF('Tabelle 18'!$C$8=AB9,'Tabelle 18'!$R$8,"")&amp;IF('Tabelle 18'!$C$9=AB9,'Tabelle 18'!$R$9,"")&amp;IF('Tabelle 18'!$C$10=AB9,'Tabelle 18'!$R$10,"")&amp;IF('Tabelle 18'!$C$11=AB9,'Tabelle 18'!$R$11,"")&amp;IF('Tabelle 18'!$C$12=AB9,'Tabelle 18'!$R$12,"")&amp;IF('Tabelle 18'!$C$13=AB9,'Tabelle 18'!$R$13,"")&amp;IF('Tabelle 18'!$C$14=AB9,'Tabelle 18'!$R$14,"")&amp;IF('Tabelle 18'!$C$15=AB9,'Tabelle 18'!$R$15,"")&amp;IF('Tabelle 18'!$C$16=AB9,'Tabelle 18'!$R$16,"")&amp;IF('Tabelle 18'!$C$17=AB9,'Tabelle 18'!$R$17,"")&amp;IF('Tabelle 18'!$C$18=AB9,'Tabelle 18'!$R$18,"")&amp;IF('Tabelle 18'!$C$19=AB9,'Tabelle 18'!$R$19,"")&amp;IF('Tabelle 18'!$C$20=AB9,'Tabelle 18'!$R$20,"")&amp;IF('Tabelle 18'!$C$21=AB9,'Tabelle 18'!$R$21,"")&amp;IF('Tabelle 18'!$C$22=AB9,'Tabelle 18'!$R$22,"")</f>
        <v> </v>
      </c>
      <c r="AX9" s="119">
        <v>5</v>
      </c>
      <c r="AY9" s="3">
        <f>'Tabelle 18'!N9</f>
        <v>0.14</v>
      </c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2:81" ht="24.75" customHeight="1">
      <c r="B10" s="10">
        <v>6</v>
      </c>
      <c r="C10" s="26" t="str">
        <f t="shared" si="0"/>
        <v>Spieler 6</v>
      </c>
      <c r="D10" s="57" t="str">
        <f t="shared" si="7"/>
        <v> </v>
      </c>
      <c r="E10" s="57" t="str">
        <f t="shared" si="10"/>
        <v> </v>
      </c>
      <c r="F10" s="57" t="str">
        <f t="shared" si="12"/>
        <v> </v>
      </c>
      <c r="G10" s="57" t="str">
        <f t="shared" si="14"/>
        <v> </v>
      </c>
      <c r="H10" s="57" t="str">
        <f aca="true" t="shared" si="16" ref="H10:H22">AG56</f>
        <v> </v>
      </c>
      <c r="I10" s="68"/>
      <c r="J10" s="57" t="str">
        <f aca="true" t="shared" si="17" ref="J10:U10">AI56</f>
        <v> </v>
      </c>
      <c r="K10" s="57" t="str">
        <f t="shared" si="17"/>
        <v> </v>
      </c>
      <c r="L10" s="57" t="str">
        <f t="shared" si="17"/>
        <v> </v>
      </c>
      <c r="M10" s="57" t="str">
        <f t="shared" si="17"/>
        <v> </v>
      </c>
      <c r="N10" s="57" t="str">
        <f t="shared" si="17"/>
        <v> </v>
      </c>
      <c r="O10" s="57" t="str">
        <f t="shared" si="17"/>
        <v> </v>
      </c>
      <c r="P10" s="57" t="str">
        <f t="shared" si="17"/>
        <v> </v>
      </c>
      <c r="Q10" s="57" t="str">
        <f t="shared" si="17"/>
        <v> </v>
      </c>
      <c r="R10" s="57" t="str">
        <f t="shared" si="17"/>
        <v> </v>
      </c>
      <c r="S10" s="57" t="str">
        <f t="shared" si="17"/>
        <v> </v>
      </c>
      <c r="T10" s="57" t="str">
        <f t="shared" si="17"/>
        <v> </v>
      </c>
      <c r="U10" s="30" t="str">
        <f t="shared" si="17"/>
        <v> </v>
      </c>
      <c r="V10" s="79" t="str">
        <f t="shared" si="2"/>
        <v> </v>
      </c>
      <c r="W10" s="77">
        <f t="shared" si="3"/>
      </c>
      <c r="X10" s="61" t="str">
        <f t="shared" si="4"/>
        <v> </v>
      </c>
      <c r="Y10" s="2"/>
      <c r="Z10" s="2">
        <f t="shared" si="9"/>
        <v>6</v>
      </c>
      <c r="AA10" s="10">
        <v>6</v>
      </c>
      <c r="AB10" s="26" t="str">
        <f>Eingabe!$C$11</f>
        <v>Spieler 6</v>
      </c>
      <c r="AC10" s="57" t="str">
        <f>'18 Spieler'!$O$31</f>
        <v> </v>
      </c>
      <c r="AD10" s="57" t="str">
        <f>'18 Spieler'!$AO$40</f>
        <v> </v>
      </c>
      <c r="AE10" s="57" t="str">
        <f>'18 Spieler'!$G$32</f>
        <v> </v>
      </c>
      <c r="AF10" s="57" t="str">
        <f>'18 Spieler'!$AG$39</f>
        <v> </v>
      </c>
      <c r="AG10" s="57" t="str">
        <f>'18 Spieler'!$AM$20</f>
        <v> </v>
      </c>
      <c r="AH10" s="68" t="s">
        <v>26</v>
      </c>
      <c r="AI10" s="57" t="str">
        <f>'18 Spieler'!$AG$20</f>
        <v> </v>
      </c>
      <c r="AJ10" s="57" t="str">
        <f>'18 Spieler'!$O$39</f>
        <v> </v>
      </c>
      <c r="AK10" s="57" t="str">
        <f>'18 Spieler'!$Y$19</f>
        <v> </v>
      </c>
      <c r="AL10" s="57" t="str">
        <f>'18 Spieler'!$G$40</f>
        <v> </v>
      </c>
      <c r="AM10" s="57" t="str">
        <f>'18 Spieler'!$Q$18</f>
        <v> </v>
      </c>
      <c r="AN10" s="57" t="str">
        <f>'18 Spieler'!$AM$28</f>
        <v> </v>
      </c>
      <c r="AO10" s="57" t="str">
        <f>'18 Spieler'!$I$17</f>
        <v> </v>
      </c>
      <c r="AP10" s="57" t="str">
        <f>'18 Spieler'!$AE$29</f>
        <v> </v>
      </c>
      <c r="AQ10" s="57" t="str">
        <f>'18 Spieler'!$Q$55</f>
        <v> </v>
      </c>
      <c r="AR10" s="57" t="str">
        <f>'18 Spieler'!$W$30</f>
        <v> </v>
      </c>
      <c r="AS10" s="57" t="str">
        <f>'18 Spieler'!$I$54</f>
        <v> </v>
      </c>
      <c r="AT10" s="30" t="str">
        <f>'18 Spieler'!$W$38</f>
        <v> </v>
      </c>
      <c r="AU10" s="79" t="str">
        <f t="shared" si="5"/>
        <v> </v>
      </c>
      <c r="AV10" s="77">
        <f t="shared" si="6"/>
      </c>
      <c r="AW10" s="61" t="str">
        <f>IF('Tabelle 18'!$C$5=AB10,'Tabelle 18'!$R$5,"")&amp;IF('Tabelle 18'!$C$6=AB10,'Tabelle 18'!$R$6,"")&amp;IF('Tabelle 18'!$C$7=AB10,'Tabelle 18'!$R$7,"")&amp;IF('Tabelle 18'!$C$8=AB10,'Tabelle 18'!$R$8,"")&amp;IF('Tabelle 18'!$C$9=AB10,'Tabelle 18'!$R$9,"")&amp;IF('Tabelle 18'!$C$10=AB10,'Tabelle 18'!$R$10,"")&amp;IF('Tabelle 18'!$C$11=AB10,'Tabelle 18'!$R$11,"")&amp;IF('Tabelle 18'!$C$12=AB10,'Tabelle 18'!$R$12,"")&amp;IF('Tabelle 18'!$C$13=AB10,'Tabelle 18'!$R$13,"")&amp;IF('Tabelle 18'!$C$14=AB10,'Tabelle 18'!$R$14,"")&amp;IF('Tabelle 18'!$C$15=AB10,'Tabelle 18'!$R$15,"")&amp;IF('Tabelle 18'!$C$16=AB10,'Tabelle 18'!$R$16,"")&amp;IF('Tabelle 18'!$C$17=AB10,'Tabelle 18'!$R$17,"")&amp;IF('Tabelle 18'!$C$18=AB10,'Tabelle 18'!$R$18,"")&amp;IF('Tabelle 18'!$C$19=AB10,'Tabelle 18'!$R$19,"")&amp;IF('Tabelle 18'!$C$20=AB10,'Tabelle 18'!$R$20,"")&amp;IF('Tabelle 18'!$C$21=AB10,'Tabelle 18'!$R$21,"")&amp;IF('Tabelle 18'!$C$22=AB10,'Tabelle 18'!$R$22,"")</f>
        <v> </v>
      </c>
      <c r="AX10" s="119">
        <v>6</v>
      </c>
      <c r="AY10" s="3">
        <f>'Tabelle 18'!N10</f>
        <v>0.13</v>
      </c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2:81" ht="24.75" customHeight="1">
      <c r="B11" s="10">
        <v>7</v>
      </c>
      <c r="C11" s="26" t="str">
        <f t="shared" si="0"/>
        <v>Spieler 7</v>
      </c>
      <c r="D11" s="57" t="str">
        <f t="shared" si="7"/>
        <v> </v>
      </c>
      <c r="E11" s="57" t="str">
        <f t="shared" si="10"/>
        <v> </v>
      </c>
      <c r="F11" s="57" t="str">
        <f t="shared" si="12"/>
        <v> </v>
      </c>
      <c r="G11" s="57" t="str">
        <f t="shared" si="14"/>
        <v> </v>
      </c>
      <c r="H11" s="57" t="str">
        <f t="shared" si="16"/>
        <v> </v>
      </c>
      <c r="I11" s="57" t="str">
        <f aca="true" t="shared" si="18" ref="I11:I22">AH57</f>
        <v> </v>
      </c>
      <c r="J11" s="68"/>
      <c r="K11" s="57" t="str">
        <f aca="true" t="shared" si="19" ref="K11:U11">AJ57</f>
        <v> </v>
      </c>
      <c r="L11" s="57" t="str">
        <f t="shared" si="19"/>
        <v> </v>
      </c>
      <c r="M11" s="57" t="str">
        <f t="shared" si="19"/>
        <v> </v>
      </c>
      <c r="N11" s="57" t="str">
        <f t="shared" si="19"/>
        <v> </v>
      </c>
      <c r="O11" s="57" t="str">
        <f t="shared" si="19"/>
        <v> </v>
      </c>
      <c r="P11" s="57" t="str">
        <f t="shared" si="19"/>
        <v> </v>
      </c>
      <c r="Q11" s="57" t="str">
        <f t="shared" si="19"/>
        <v> </v>
      </c>
      <c r="R11" s="57" t="str">
        <f t="shared" si="19"/>
        <v> </v>
      </c>
      <c r="S11" s="57" t="str">
        <f t="shared" si="19"/>
        <v> </v>
      </c>
      <c r="T11" s="57" t="str">
        <f t="shared" si="19"/>
        <v> </v>
      </c>
      <c r="U11" s="30" t="str">
        <f t="shared" si="19"/>
        <v> </v>
      </c>
      <c r="V11" s="79" t="str">
        <f t="shared" si="2"/>
        <v> </v>
      </c>
      <c r="W11" s="77">
        <f t="shared" si="3"/>
      </c>
      <c r="X11" s="61" t="str">
        <f t="shared" si="4"/>
        <v> </v>
      </c>
      <c r="Y11" s="2"/>
      <c r="Z11" s="2">
        <f t="shared" si="9"/>
        <v>7</v>
      </c>
      <c r="AA11" s="10">
        <v>7</v>
      </c>
      <c r="AB11" s="26" t="str">
        <f>Eingabe!$C$12</f>
        <v>Spieler 7</v>
      </c>
      <c r="AC11" s="57" t="str">
        <f>'18 Spieler'!$AO$41</f>
        <v> </v>
      </c>
      <c r="AD11" s="57" t="str">
        <f>'18 Spieler'!$G$31</f>
        <v> </v>
      </c>
      <c r="AE11" s="57" t="str">
        <f>'18 Spieler'!$AG$40</f>
        <v> </v>
      </c>
      <c r="AF11" s="57" t="str">
        <f>'18 Spieler'!$AM$19</f>
        <v> </v>
      </c>
      <c r="AG11" s="57" t="str">
        <f>'18 Spieler'!$Y$39</f>
        <v> </v>
      </c>
      <c r="AH11" s="57" t="str">
        <f>'18 Spieler'!$AE$20</f>
        <v> </v>
      </c>
      <c r="AI11" s="68" t="s">
        <v>26</v>
      </c>
      <c r="AJ11" s="57" t="str">
        <f>'18 Spieler'!$Y$20</f>
        <v> </v>
      </c>
      <c r="AK11" s="57" t="str">
        <f>'18 Spieler'!$G$39</f>
        <v> </v>
      </c>
      <c r="AL11" s="57" t="str">
        <f>'18 Spieler'!$Q$19</f>
        <v> </v>
      </c>
      <c r="AM11" s="57" t="str">
        <f>'18 Spieler'!$AM$27</f>
        <v> </v>
      </c>
      <c r="AN11" s="57" t="str">
        <f>'18 Spieler'!$I$18</f>
        <v> </v>
      </c>
      <c r="AO11" s="57" t="str">
        <f>'18 Spieler'!$AE$28</f>
        <v> </v>
      </c>
      <c r="AP11" s="57" t="str">
        <f>'18 Spieler'!$Q$56</f>
        <v> </v>
      </c>
      <c r="AQ11" s="57" t="str">
        <f>'18 Spieler'!$W$29</f>
        <v> </v>
      </c>
      <c r="AR11" s="57" t="str">
        <f>'18 Spieler'!$I$55</f>
        <v> </v>
      </c>
      <c r="AS11" s="57" t="str">
        <f>'18 Spieler'!$O$30</f>
        <v> </v>
      </c>
      <c r="AT11" s="30" t="str">
        <f>'18 Spieler'!$O$38</f>
        <v> </v>
      </c>
      <c r="AU11" s="79" t="str">
        <f t="shared" si="5"/>
        <v> </v>
      </c>
      <c r="AV11" s="77">
        <f t="shared" si="6"/>
      </c>
      <c r="AW11" s="61" t="str">
        <f>IF('Tabelle 18'!$C$5=AB11,'Tabelle 18'!$R$5,"")&amp;IF('Tabelle 18'!$C$6=AB11,'Tabelle 18'!$R$6,"")&amp;IF('Tabelle 18'!$C$7=AB11,'Tabelle 18'!$R$7,"")&amp;IF('Tabelle 18'!$C$8=AB11,'Tabelle 18'!$R$8,"")&amp;IF('Tabelle 18'!$C$9=AB11,'Tabelle 18'!$R$9,"")&amp;IF('Tabelle 18'!$C$10=AB11,'Tabelle 18'!$R$10,"")&amp;IF('Tabelle 18'!$C$11=AB11,'Tabelle 18'!$R$11,"")&amp;IF('Tabelle 18'!$C$12=AB11,'Tabelle 18'!$R$12,"")&amp;IF('Tabelle 18'!$C$13=AB11,'Tabelle 18'!$R$13,"")&amp;IF('Tabelle 18'!$C$14=AB11,'Tabelle 18'!$R$14,"")&amp;IF('Tabelle 18'!$C$15=AB11,'Tabelle 18'!$R$15,"")&amp;IF('Tabelle 18'!$C$16=AB11,'Tabelle 18'!$R$16,"")&amp;IF('Tabelle 18'!$C$17=AB11,'Tabelle 18'!$R$17,"")&amp;IF('Tabelle 18'!$C$18=AB11,'Tabelle 18'!$R$18,"")&amp;IF('Tabelle 18'!$C$19=AB11,'Tabelle 18'!$R$19,"")&amp;IF('Tabelle 18'!$C$20=AB11,'Tabelle 18'!$R$20,"")&amp;IF('Tabelle 18'!$C$21=AB11,'Tabelle 18'!$R$21,"")&amp;IF('Tabelle 18'!$C$22=AB11,'Tabelle 18'!$R$22,"")</f>
        <v> </v>
      </c>
      <c r="AX11" s="119">
        <v>7</v>
      </c>
      <c r="AY11" s="3">
        <f>'Tabelle 18'!N11</f>
        <v>0.12</v>
      </c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2:81" ht="24.75" customHeight="1">
      <c r="B12" s="10">
        <v>8</v>
      </c>
      <c r="C12" s="26" t="str">
        <f t="shared" si="0"/>
        <v>Spieler 8</v>
      </c>
      <c r="D12" s="57" t="str">
        <f t="shared" si="7"/>
        <v> </v>
      </c>
      <c r="E12" s="57" t="str">
        <f t="shared" si="10"/>
        <v> </v>
      </c>
      <c r="F12" s="57" t="str">
        <f t="shared" si="12"/>
        <v> </v>
      </c>
      <c r="G12" s="57" t="str">
        <f t="shared" si="14"/>
        <v> </v>
      </c>
      <c r="H12" s="57" t="str">
        <f t="shared" si="16"/>
        <v> </v>
      </c>
      <c r="I12" s="57" t="str">
        <f t="shared" si="18"/>
        <v> </v>
      </c>
      <c r="J12" s="57" t="str">
        <f aca="true" t="shared" si="20" ref="J12:J22">AI58</f>
        <v> </v>
      </c>
      <c r="K12" s="68"/>
      <c r="L12" s="57" t="str">
        <f aca="true" t="shared" si="21" ref="L12:U12">AK58</f>
        <v> </v>
      </c>
      <c r="M12" s="57" t="str">
        <f t="shared" si="21"/>
        <v> </v>
      </c>
      <c r="N12" s="57" t="str">
        <f t="shared" si="21"/>
        <v> </v>
      </c>
      <c r="O12" s="57" t="str">
        <f t="shared" si="21"/>
        <v> </v>
      </c>
      <c r="P12" s="57" t="str">
        <f t="shared" si="21"/>
        <v> </v>
      </c>
      <c r="Q12" s="57" t="str">
        <f t="shared" si="21"/>
        <v> </v>
      </c>
      <c r="R12" s="57" t="str">
        <f t="shared" si="21"/>
        <v> </v>
      </c>
      <c r="S12" s="57" t="str">
        <f t="shared" si="21"/>
        <v> </v>
      </c>
      <c r="T12" s="57" t="str">
        <f t="shared" si="21"/>
        <v> </v>
      </c>
      <c r="U12" s="30" t="str">
        <f t="shared" si="21"/>
        <v> </v>
      </c>
      <c r="V12" s="79" t="str">
        <f t="shared" si="2"/>
        <v> </v>
      </c>
      <c r="W12" s="77">
        <f t="shared" si="3"/>
      </c>
      <c r="X12" s="61" t="str">
        <f t="shared" si="4"/>
        <v> </v>
      </c>
      <c r="Y12" s="2"/>
      <c r="Z12" s="2">
        <f t="shared" si="9"/>
        <v>8</v>
      </c>
      <c r="AA12" s="10">
        <v>8</v>
      </c>
      <c r="AB12" s="26" t="str">
        <f>Eingabe!$C$13</f>
        <v>Spieler 8</v>
      </c>
      <c r="AC12" s="57" t="str">
        <f>'18 Spieler'!$G$30</f>
        <v> </v>
      </c>
      <c r="AD12" s="57" t="str">
        <f>'18 Spieler'!$AG$41</f>
        <v> </v>
      </c>
      <c r="AE12" s="57" t="str">
        <f>'18 Spieler'!$AM$18</f>
        <v> </v>
      </c>
      <c r="AF12" s="57" t="str">
        <f>'18 Spieler'!$Y$40</f>
        <v> </v>
      </c>
      <c r="AG12" s="57" t="str">
        <f>'18 Spieler'!$AE$19</f>
        <v> </v>
      </c>
      <c r="AH12" s="57" t="str">
        <f>'18 Spieler'!$Q$39</f>
        <v> </v>
      </c>
      <c r="AI12" s="57" t="str">
        <f>'18 Spieler'!$W$20</f>
        <v> </v>
      </c>
      <c r="AJ12" s="68" t="s">
        <v>26</v>
      </c>
      <c r="AK12" s="57" t="str">
        <f>'18 Spieler'!$Q$20</f>
        <v> </v>
      </c>
      <c r="AL12" s="57" t="str">
        <f>'18 Spieler'!$AM$26</f>
        <v> </v>
      </c>
      <c r="AM12" s="57" t="str">
        <f>'18 Spieler'!$I$19</f>
        <v> </v>
      </c>
      <c r="AN12" s="57" t="str">
        <f>'18 Spieler'!$AE$27</f>
        <v> </v>
      </c>
      <c r="AO12" s="57" t="str">
        <f>'18 Spieler'!$Q$57</f>
        <v> </v>
      </c>
      <c r="AP12" s="57" t="str">
        <f>'18 Spieler'!$W$28</f>
        <v> </v>
      </c>
      <c r="AQ12" s="57" t="str">
        <f>'18 Spieler'!$I$56</f>
        <v> </v>
      </c>
      <c r="AR12" s="57" t="str">
        <f>'18 Spieler'!$O$29</f>
        <v> </v>
      </c>
      <c r="AS12" s="57" t="str">
        <f>'18 Spieler'!$AO$42</f>
        <v> </v>
      </c>
      <c r="AT12" s="30" t="str">
        <f>'18 Spieler'!$G$38</f>
        <v> </v>
      </c>
      <c r="AU12" s="79" t="str">
        <f t="shared" si="5"/>
        <v> </v>
      </c>
      <c r="AV12" s="77">
        <f t="shared" si="6"/>
      </c>
      <c r="AW12" s="61" t="str">
        <f>IF('Tabelle 18'!$C$5=AB12,'Tabelle 18'!$R$5,"")&amp;IF('Tabelle 18'!$C$6=AB12,'Tabelle 18'!$R$6,"")&amp;IF('Tabelle 18'!$C$7=AB12,'Tabelle 18'!$R$7,"")&amp;IF('Tabelle 18'!$C$8=AB12,'Tabelle 18'!$R$8,"")&amp;IF('Tabelle 18'!$C$9=AB12,'Tabelle 18'!$R$9,"")&amp;IF('Tabelle 18'!$C$10=AB12,'Tabelle 18'!$R$10,"")&amp;IF('Tabelle 18'!$C$11=AB12,'Tabelle 18'!$R$11,"")&amp;IF('Tabelle 18'!$C$12=AB12,'Tabelle 18'!$R$12,"")&amp;IF('Tabelle 18'!$C$13=AB12,'Tabelle 18'!$R$13,"")&amp;IF('Tabelle 18'!$C$14=AB12,'Tabelle 18'!$R$14,"")&amp;IF('Tabelle 18'!$C$15=AB12,'Tabelle 18'!$R$15,"")&amp;IF('Tabelle 18'!$C$16=AB12,'Tabelle 18'!$R$16,"")&amp;IF('Tabelle 18'!$C$17=AB12,'Tabelle 18'!$R$17,"")&amp;IF('Tabelle 18'!$C$18=AB12,'Tabelle 18'!$R$18,"")&amp;IF('Tabelle 18'!$C$19=AB12,'Tabelle 18'!$R$19,"")&amp;IF('Tabelle 18'!$C$20=AB12,'Tabelle 18'!$R$20,"")&amp;IF('Tabelle 18'!$C$21=AB12,'Tabelle 18'!$R$21,"")&amp;IF('Tabelle 18'!$C$22=AB12,'Tabelle 18'!$R$22,"")</f>
        <v> </v>
      </c>
      <c r="AX12" s="119">
        <v>8</v>
      </c>
      <c r="AY12" s="3">
        <f>'Tabelle 18'!N12</f>
        <v>0.11</v>
      </c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2:81" ht="24.75" customHeight="1">
      <c r="B13" s="10">
        <v>9</v>
      </c>
      <c r="C13" s="26" t="str">
        <f t="shared" si="0"/>
        <v>Spieler 9</v>
      </c>
      <c r="D13" s="57" t="str">
        <f t="shared" si="7"/>
        <v> </v>
      </c>
      <c r="E13" s="57" t="str">
        <f t="shared" si="10"/>
        <v> </v>
      </c>
      <c r="F13" s="57" t="str">
        <f t="shared" si="12"/>
        <v> </v>
      </c>
      <c r="G13" s="57" t="str">
        <f t="shared" si="14"/>
        <v> </v>
      </c>
      <c r="H13" s="57" t="str">
        <f t="shared" si="16"/>
        <v> </v>
      </c>
      <c r="I13" s="57" t="str">
        <f t="shared" si="18"/>
        <v> </v>
      </c>
      <c r="J13" s="57" t="str">
        <f t="shared" si="20"/>
        <v> </v>
      </c>
      <c r="K13" s="57" t="str">
        <f aca="true" t="shared" si="22" ref="K13:K22">AJ59</f>
        <v> </v>
      </c>
      <c r="L13" s="68"/>
      <c r="M13" s="57" t="str">
        <f aca="true" t="shared" si="23" ref="M13:U13">AL59</f>
        <v> </v>
      </c>
      <c r="N13" s="57" t="str">
        <f t="shared" si="23"/>
        <v> </v>
      </c>
      <c r="O13" s="57" t="str">
        <f t="shared" si="23"/>
        <v> </v>
      </c>
      <c r="P13" s="57" t="str">
        <f t="shared" si="23"/>
        <v> </v>
      </c>
      <c r="Q13" s="57" t="str">
        <f t="shared" si="23"/>
        <v> </v>
      </c>
      <c r="R13" s="57" t="str">
        <f t="shared" si="23"/>
        <v> </v>
      </c>
      <c r="S13" s="57" t="str">
        <f t="shared" si="23"/>
        <v> </v>
      </c>
      <c r="T13" s="57" t="str">
        <f t="shared" si="23"/>
        <v> </v>
      </c>
      <c r="U13" s="30" t="str">
        <f t="shared" si="23"/>
        <v> </v>
      </c>
      <c r="V13" s="79" t="str">
        <f t="shared" si="2"/>
        <v> </v>
      </c>
      <c r="W13" s="77">
        <f t="shared" si="3"/>
      </c>
      <c r="X13" s="61" t="str">
        <f t="shared" si="4"/>
        <v> </v>
      </c>
      <c r="Y13" s="2"/>
      <c r="Z13" s="2">
        <f t="shared" si="9"/>
        <v>9</v>
      </c>
      <c r="AA13" s="10">
        <v>9</v>
      </c>
      <c r="AB13" s="26" t="str">
        <f>Eingabe!$C$14</f>
        <v>Spieler 9</v>
      </c>
      <c r="AC13" s="57" t="str">
        <f>'18 Spieler'!$AG$42</f>
        <v> </v>
      </c>
      <c r="AD13" s="57" t="str">
        <f>'18 Spieler'!$AM$17</f>
        <v> </v>
      </c>
      <c r="AE13" s="57" t="str">
        <f>'18 Spieler'!$Y$41</f>
        <v> </v>
      </c>
      <c r="AF13" s="57" t="str">
        <f>'18 Spieler'!$AE$18</f>
        <v> </v>
      </c>
      <c r="AG13" s="57" t="str">
        <f>'18 Spieler'!$Q$40</f>
        <v> </v>
      </c>
      <c r="AH13" s="57" t="str">
        <f>'18 Spieler'!$W$19</f>
        <v> </v>
      </c>
      <c r="AI13" s="57" t="str">
        <f>'18 Spieler'!$I$39</f>
        <v> </v>
      </c>
      <c r="AJ13" s="57" t="str">
        <f>'18 Spieler'!$O$20</f>
        <v> </v>
      </c>
      <c r="AK13" s="68" t="s">
        <v>26</v>
      </c>
      <c r="AL13" s="57" t="str">
        <f>'18 Spieler'!$I$20</f>
        <v> </v>
      </c>
      <c r="AM13" s="57" t="str">
        <f>'18 Spieler'!$AE$26</f>
        <v> </v>
      </c>
      <c r="AN13" s="57" t="str">
        <f>'18 Spieler'!$Q$58</f>
        <v> </v>
      </c>
      <c r="AO13" s="57" t="str">
        <f>'18 Spieler'!$W$27</f>
        <v> </v>
      </c>
      <c r="AP13" s="57" t="str">
        <f>'18 Spieler'!$I$57</f>
        <v> </v>
      </c>
      <c r="AQ13" s="57" t="str">
        <f>'18 Spieler'!$O$28</f>
        <v> </v>
      </c>
      <c r="AR13" s="57" t="str">
        <f>'18 Spieler'!$AO$43</f>
        <v> </v>
      </c>
      <c r="AS13" s="57" t="str">
        <f>'18 Spieler'!$G$29</f>
        <v> </v>
      </c>
      <c r="AT13" s="30" t="str">
        <f>'18 Spieler'!$AM$25</f>
        <v> </v>
      </c>
      <c r="AU13" s="79" t="str">
        <f t="shared" si="5"/>
        <v> </v>
      </c>
      <c r="AV13" s="77">
        <f t="shared" si="6"/>
      </c>
      <c r="AW13" s="61" t="str">
        <f>IF('Tabelle 18'!$C$5=AB13,'Tabelle 18'!$R$5,"")&amp;IF('Tabelle 18'!$C$6=AB13,'Tabelle 18'!$R$6,"")&amp;IF('Tabelle 18'!$C$7=AB13,'Tabelle 18'!$R$7,"")&amp;IF('Tabelle 18'!$C$8=AB13,'Tabelle 18'!$R$8,"")&amp;IF('Tabelle 18'!$C$9=AB13,'Tabelle 18'!$R$9,"")&amp;IF('Tabelle 18'!$C$10=AB13,'Tabelle 18'!$R$10,"")&amp;IF('Tabelle 18'!$C$11=AB13,'Tabelle 18'!$R$11,"")&amp;IF('Tabelle 18'!$C$12=AB13,'Tabelle 18'!$R$12,"")&amp;IF('Tabelle 18'!$C$13=AB13,'Tabelle 18'!$R$13,"")&amp;IF('Tabelle 18'!$C$14=AB13,'Tabelle 18'!$R$14,"")&amp;IF('Tabelle 18'!$C$15=AB13,'Tabelle 18'!$R$15,"")&amp;IF('Tabelle 18'!$C$16=AB13,'Tabelle 18'!$R$16,"")&amp;IF('Tabelle 18'!$C$17=AB13,'Tabelle 18'!$R$17,"")&amp;IF('Tabelle 18'!$C$18=AB13,'Tabelle 18'!$R$18,"")&amp;IF('Tabelle 18'!$C$19=AB13,'Tabelle 18'!$R$19,"")&amp;IF('Tabelle 18'!$C$20=AB13,'Tabelle 18'!$R$20,"")&amp;IF('Tabelle 18'!$C$21=AB13,'Tabelle 18'!$R$21,"")&amp;IF('Tabelle 18'!$C$22=AB13,'Tabelle 18'!$R$22,"")</f>
        <v> </v>
      </c>
      <c r="AX13" s="119">
        <v>9</v>
      </c>
      <c r="AY13" s="3">
        <f>'Tabelle 18'!N13</f>
        <v>0.1</v>
      </c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2:81" ht="24.75" customHeight="1">
      <c r="B14" s="10">
        <v>10</v>
      </c>
      <c r="C14" s="26" t="str">
        <f t="shared" si="0"/>
        <v>Spieler 10</v>
      </c>
      <c r="D14" s="57" t="str">
        <f t="shared" si="7"/>
        <v> </v>
      </c>
      <c r="E14" s="57" t="str">
        <f t="shared" si="10"/>
        <v> </v>
      </c>
      <c r="F14" s="57" t="str">
        <f t="shared" si="12"/>
        <v> </v>
      </c>
      <c r="G14" s="57" t="str">
        <f t="shared" si="14"/>
        <v> </v>
      </c>
      <c r="H14" s="57" t="str">
        <f t="shared" si="16"/>
        <v> </v>
      </c>
      <c r="I14" s="57" t="str">
        <f t="shared" si="18"/>
        <v> </v>
      </c>
      <c r="J14" s="57" t="str">
        <f t="shared" si="20"/>
        <v> </v>
      </c>
      <c r="K14" s="57" t="str">
        <f t="shared" si="22"/>
        <v> </v>
      </c>
      <c r="L14" s="57" t="str">
        <f aca="true" t="shared" si="24" ref="L14:L22">AK60</f>
        <v> </v>
      </c>
      <c r="M14" s="68"/>
      <c r="N14" s="57" t="str">
        <f aca="true" t="shared" si="25" ref="N14:U14">AM60</f>
        <v> </v>
      </c>
      <c r="O14" s="57" t="str">
        <f t="shared" si="25"/>
        <v> </v>
      </c>
      <c r="P14" s="57" t="str">
        <f t="shared" si="25"/>
        <v> </v>
      </c>
      <c r="Q14" s="57" t="str">
        <f t="shared" si="25"/>
        <v> </v>
      </c>
      <c r="R14" s="57" t="str">
        <f t="shared" si="25"/>
        <v> </v>
      </c>
      <c r="S14" s="57" t="str">
        <f t="shared" si="25"/>
        <v> </v>
      </c>
      <c r="T14" s="57" t="str">
        <f t="shared" si="25"/>
        <v> </v>
      </c>
      <c r="U14" s="30" t="str">
        <f t="shared" si="25"/>
        <v> </v>
      </c>
      <c r="V14" s="79" t="str">
        <f t="shared" si="2"/>
        <v> </v>
      </c>
      <c r="W14" s="77">
        <f t="shared" si="3"/>
      </c>
      <c r="X14" s="61" t="str">
        <f t="shared" si="4"/>
        <v> </v>
      </c>
      <c r="Y14" s="2"/>
      <c r="Z14" s="2">
        <f t="shared" si="9"/>
        <v>10</v>
      </c>
      <c r="AA14" s="10">
        <v>10</v>
      </c>
      <c r="AB14" s="26" t="str">
        <f>Eingabe!$C$15</f>
        <v>Spieler 10</v>
      </c>
      <c r="AC14" s="57" t="str">
        <f>'18 Spieler'!$AM$16</f>
        <v> </v>
      </c>
      <c r="AD14" s="57" t="str">
        <f>'18 Spieler'!$Y$42</f>
        <v> </v>
      </c>
      <c r="AE14" s="57" t="str">
        <f>'18 Spieler'!$AE$17</f>
        <v> </v>
      </c>
      <c r="AF14" s="57" t="str">
        <f>'18 Spieler'!$Q$41</f>
        <v> </v>
      </c>
      <c r="AG14" s="57" t="str">
        <f>'18 Spieler'!$W$18</f>
        <v> </v>
      </c>
      <c r="AH14" s="57" t="str">
        <f>'18 Spieler'!$I$40</f>
        <v> </v>
      </c>
      <c r="AI14" s="57" t="str">
        <f>'18 Spieler'!$O$19</f>
        <v> </v>
      </c>
      <c r="AJ14" s="57" t="str">
        <f>'18 Spieler'!$AO$26</f>
        <v> </v>
      </c>
      <c r="AK14" s="57" t="str">
        <f>'18 Spieler'!$G$20</f>
        <v> </v>
      </c>
      <c r="AL14" s="68" t="s">
        <v>26</v>
      </c>
      <c r="AM14" s="57" t="str">
        <f>'18 Spieler'!$Q$59</f>
        <v> </v>
      </c>
      <c r="AN14" s="57" t="str">
        <f>'18 Spieler'!$W$26</f>
        <v> </v>
      </c>
      <c r="AO14" s="57" t="str">
        <f>'18 Spieler'!$I$58</f>
        <v> </v>
      </c>
      <c r="AP14" s="57" t="str">
        <f>'18 Spieler'!$O$27</f>
        <v> </v>
      </c>
      <c r="AQ14" s="57" t="str">
        <f>'18 Spieler'!$AO44</f>
        <v> </v>
      </c>
      <c r="AR14" s="57" t="str">
        <f>'18 Spieler'!$G$28</f>
        <v> </v>
      </c>
      <c r="AS14" s="57" t="str">
        <f>'18 Spieler'!$AG$43</f>
        <v> </v>
      </c>
      <c r="AT14" s="30" t="str">
        <f>'18 Spieler'!$AE$25</f>
        <v> </v>
      </c>
      <c r="AU14" s="79" t="str">
        <f t="shared" si="5"/>
        <v> </v>
      </c>
      <c r="AV14" s="77">
        <f t="shared" si="6"/>
      </c>
      <c r="AW14" s="61" t="str">
        <f>IF('Tabelle 18'!$C$5=AB14,'Tabelle 18'!$R$5,"")&amp;IF('Tabelle 18'!$C$6=AB14,'Tabelle 18'!$R$6,"")&amp;IF('Tabelle 18'!$C$7=AB14,'Tabelle 18'!$R$7,"")&amp;IF('Tabelle 18'!$C$8=AB14,'Tabelle 18'!$R$8,"")&amp;IF('Tabelle 18'!$C$9=AB14,'Tabelle 18'!$R$9,"")&amp;IF('Tabelle 18'!$C$10=AB14,'Tabelle 18'!$R$10,"")&amp;IF('Tabelle 18'!$C$11=AB14,'Tabelle 18'!$R$11,"")&amp;IF('Tabelle 18'!$C$12=AB14,'Tabelle 18'!$R$12,"")&amp;IF('Tabelle 18'!$C$13=AB14,'Tabelle 18'!$R$13,"")&amp;IF('Tabelle 18'!$C$14=AB14,'Tabelle 18'!$R$14,"")&amp;IF('Tabelle 18'!$C$15=AB14,'Tabelle 18'!$R$15,"")&amp;IF('Tabelle 18'!$C$16=AB14,'Tabelle 18'!$R$16,"")&amp;IF('Tabelle 18'!$C$17=AB14,'Tabelle 18'!$R$17,"")&amp;IF('Tabelle 18'!$C$18=AB14,'Tabelle 18'!$R$18,"")&amp;IF('Tabelle 18'!$C$19=AB14,'Tabelle 18'!$R$19,"")&amp;IF('Tabelle 18'!$C$20=AB14,'Tabelle 18'!$R$20,"")&amp;IF('Tabelle 18'!$C$21=AB14,'Tabelle 18'!$R$21,"")&amp;IF('Tabelle 18'!$C$22=AB14,'Tabelle 18'!$R$22,"")</f>
        <v> </v>
      </c>
      <c r="AX14" s="119">
        <v>10</v>
      </c>
      <c r="AY14" s="3">
        <f>'Tabelle 18'!N14</f>
        <v>0.09</v>
      </c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2:81" ht="24.75" customHeight="1">
      <c r="B15" s="10">
        <v>11</v>
      </c>
      <c r="C15" s="26" t="str">
        <f t="shared" si="0"/>
        <v>Spieler 11</v>
      </c>
      <c r="D15" s="57" t="str">
        <f t="shared" si="7"/>
        <v> </v>
      </c>
      <c r="E15" s="57" t="str">
        <f t="shared" si="10"/>
        <v> </v>
      </c>
      <c r="F15" s="57" t="str">
        <f t="shared" si="12"/>
        <v> </v>
      </c>
      <c r="G15" s="57" t="str">
        <f t="shared" si="14"/>
        <v> </v>
      </c>
      <c r="H15" s="57" t="str">
        <f t="shared" si="16"/>
        <v> </v>
      </c>
      <c r="I15" s="57" t="str">
        <f t="shared" si="18"/>
        <v> </v>
      </c>
      <c r="J15" s="57" t="str">
        <f t="shared" si="20"/>
        <v> </v>
      </c>
      <c r="K15" s="57" t="str">
        <f t="shared" si="22"/>
        <v> </v>
      </c>
      <c r="L15" s="57" t="str">
        <f t="shared" si="24"/>
        <v> </v>
      </c>
      <c r="M15" s="57" t="str">
        <f aca="true" t="shared" si="26" ref="M15:M22">AL61</f>
        <v> </v>
      </c>
      <c r="N15" s="68"/>
      <c r="O15" s="57" t="str">
        <f aca="true" t="shared" si="27" ref="O15:U15">AN61</f>
        <v> </v>
      </c>
      <c r="P15" s="57" t="str">
        <f t="shared" si="27"/>
        <v> </v>
      </c>
      <c r="Q15" s="57" t="str">
        <f t="shared" si="27"/>
        <v> </v>
      </c>
      <c r="R15" s="57" t="str">
        <f t="shared" si="27"/>
        <v> </v>
      </c>
      <c r="S15" s="57" t="str">
        <f t="shared" si="27"/>
        <v> </v>
      </c>
      <c r="T15" s="57" t="str">
        <f t="shared" si="27"/>
        <v> </v>
      </c>
      <c r="U15" s="30" t="str">
        <f t="shared" si="27"/>
        <v> </v>
      </c>
      <c r="V15" s="79" t="str">
        <f t="shared" si="2"/>
        <v> </v>
      </c>
      <c r="W15" s="77">
        <f t="shared" si="3"/>
      </c>
      <c r="X15" s="61" t="str">
        <f t="shared" si="4"/>
        <v> </v>
      </c>
      <c r="Y15" s="2"/>
      <c r="Z15" s="2">
        <f t="shared" si="9"/>
        <v>11</v>
      </c>
      <c r="AA15" s="10">
        <v>11</v>
      </c>
      <c r="AB15" s="26" t="str">
        <f>Eingabe!$G$6</f>
        <v>Spieler 11</v>
      </c>
      <c r="AC15" s="57" t="str">
        <f>'18 Spieler'!$Y$43</f>
        <v> </v>
      </c>
      <c r="AD15" s="57" t="str">
        <f>'18 Spieler'!$AE$16</f>
        <v> </v>
      </c>
      <c r="AE15" s="57" t="str">
        <f>'18 Spieler'!$Q$42</f>
        <v> </v>
      </c>
      <c r="AF15" s="57" t="str">
        <f>'18 Spieler'!$W$17</f>
        <v> </v>
      </c>
      <c r="AG15" s="57" t="str">
        <f>'18 Spieler'!$I$41</f>
        <v> </v>
      </c>
      <c r="AH15" s="57" t="str">
        <f>'18 Spieler'!$O$18</f>
        <v> </v>
      </c>
      <c r="AI15" s="57" t="str">
        <f>'18 Spieler'!$AO$27</f>
        <v> </v>
      </c>
      <c r="AJ15" s="57" t="str">
        <f>'18 Spieler'!$G$19</f>
        <v> </v>
      </c>
      <c r="AK15" s="57" t="str">
        <f>'18 Spieler'!$AG$26</f>
        <v> </v>
      </c>
      <c r="AL15" s="57" t="str">
        <f>'18 Spieler'!$O$59</f>
        <v> </v>
      </c>
      <c r="AM15" s="68" t="s">
        <v>26</v>
      </c>
      <c r="AN15" s="57" t="str">
        <f>'18 Spieler'!$I$59</f>
        <v> </v>
      </c>
      <c r="AO15" s="57" t="str">
        <f>'18 Spieler'!$O$26</f>
        <v> </v>
      </c>
      <c r="AP15" s="57" t="str">
        <f>'18 Spieler'!$AO$45</f>
        <v> </v>
      </c>
      <c r="AQ15" s="57" t="str">
        <f>'18 Spieler'!$G$27</f>
        <v> </v>
      </c>
      <c r="AR15" s="57" t="str">
        <f>'18 Spieler'!$AG$44</f>
        <v> </v>
      </c>
      <c r="AS15" s="57" t="str">
        <f>'18 Spieler'!$AM$15</f>
        <v> </v>
      </c>
      <c r="AT15" s="30" t="str">
        <f>'18 Spieler'!$W$25</f>
        <v> </v>
      </c>
      <c r="AU15" s="79" t="str">
        <f t="shared" si="5"/>
        <v> </v>
      </c>
      <c r="AV15" s="77">
        <f t="shared" si="6"/>
      </c>
      <c r="AW15" s="61" t="str">
        <f>IF('Tabelle 18'!$C$5=AB15,'Tabelle 18'!$R$5,"")&amp;IF('Tabelle 18'!$C$6=AB15,'Tabelle 18'!$R$6,"")&amp;IF('Tabelle 18'!$C$7=AB15,'Tabelle 18'!$R$7,"")&amp;IF('Tabelle 18'!$C$8=AB15,'Tabelle 18'!$R$8,"")&amp;IF('Tabelle 18'!$C$9=AB15,'Tabelle 18'!$R$9,"")&amp;IF('Tabelle 18'!$C$10=AB15,'Tabelle 18'!$R$10,"")&amp;IF('Tabelle 18'!$C$11=AB15,'Tabelle 18'!$R$11,"")&amp;IF('Tabelle 18'!$C$12=AB15,'Tabelle 18'!$R$12,"")&amp;IF('Tabelle 18'!$C$13=AB15,'Tabelle 18'!$R$13,"")&amp;IF('Tabelle 18'!$C$14=AB15,'Tabelle 18'!$R$14,"")&amp;IF('Tabelle 18'!$C$15=AB15,'Tabelle 18'!$R$15,"")&amp;IF('Tabelle 18'!$C$16=AB15,'Tabelle 18'!$R$16,"")&amp;IF('Tabelle 18'!$C$17=AB15,'Tabelle 18'!$R$17,"")&amp;IF('Tabelle 18'!$C$18=AB15,'Tabelle 18'!$R$18,"")&amp;IF('Tabelle 18'!$C$19=AB15,'Tabelle 18'!$R$19,"")&amp;IF('Tabelle 18'!$C$20=AB15,'Tabelle 18'!$R$20,"")&amp;IF('Tabelle 18'!$C$21=AB15,'Tabelle 18'!$R$21,"")&amp;IF('Tabelle 18'!$C$22=AB15,'Tabelle 18'!$R$22,"")</f>
        <v> </v>
      </c>
      <c r="AX15" s="119">
        <v>11</v>
      </c>
      <c r="AY15" s="3">
        <f>'Tabelle 18'!N15</f>
        <v>0.08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2:81" ht="24.75" customHeight="1">
      <c r="B16" s="10">
        <v>12</v>
      </c>
      <c r="C16" s="26" t="str">
        <f t="shared" si="0"/>
        <v>Spieler 12</v>
      </c>
      <c r="D16" s="57" t="str">
        <f t="shared" si="7"/>
        <v> </v>
      </c>
      <c r="E16" s="57" t="str">
        <f t="shared" si="10"/>
        <v> </v>
      </c>
      <c r="F16" s="57" t="str">
        <f t="shared" si="12"/>
        <v> </v>
      </c>
      <c r="G16" s="57" t="str">
        <f t="shared" si="14"/>
        <v> </v>
      </c>
      <c r="H16" s="57" t="str">
        <f t="shared" si="16"/>
        <v> </v>
      </c>
      <c r="I16" s="57" t="str">
        <f t="shared" si="18"/>
        <v> </v>
      </c>
      <c r="J16" s="57" t="str">
        <f t="shared" si="20"/>
        <v> </v>
      </c>
      <c r="K16" s="57" t="str">
        <f t="shared" si="22"/>
        <v> </v>
      </c>
      <c r="L16" s="57" t="str">
        <f t="shared" si="24"/>
        <v> </v>
      </c>
      <c r="M16" s="57" t="str">
        <f t="shared" si="26"/>
        <v> </v>
      </c>
      <c r="N16" s="57" t="str">
        <f aca="true" t="shared" si="28" ref="N16:N22">AM62</f>
        <v> </v>
      </c>
      <c r="O16" s="68"/>
      <c r="P16" s="57" t="str">
        <f aca="true" t="shared" si="29" ref="P16:U16">AO62</f>
        <v> </v>
      </c>
      <c r="Q16" s="57" t="str">
        <f t="shared" si="29"/>
        <v> </v>
      </c>
      <c r="R16" s="57" t="str">
        <f t="shared" si="29"/>
        <v> </v>
      </c>
      <c r="S16" s="57" t="str">
        <f t="shared" si="29"/>
        <v> </v>
      </c>
      <c r="T16" s="57" t="str">
        <f t="shared" si="29"/>
        <v> </v>
      </c>
      <c r="U16" s="30" t="str">
        <f t="shared" si="29"/>
        <v> </v>
      </c>
      <c r="V16" s="79" t="str">
        <f t="shared" si="2"/>
        <v> </v>
      </c>
      <c r="W16" s="77">
        <f t="shared" si="3"/>
      </c>
      <c r="X16" s="61" t="str">
        <f t="shared" si="4"/>
        <v> </v>
      </c>
      <c r="Y16" s="2"/>
      <c r="Z16" s="2">
        <f t="shared" si="9"/>
        <v>12</v>
      </c>
      <c r="AA16" s="10">
        <v>12</v>
      </c>
      <c r="AB16" s="26" t="str">
        <f>Eingabe!$G$7</f>
        <v>Spieler 12</v>
      </c>
      <c r="AC16" s="57" t="str">
        <f>'18 Spieler'!$AE$15</f>
        <v> </v>
      </c>
      <c r="AD16" s="57" t="str">
        <f>'18 Spieler'!$Q$43</f>
        <v> </v>
      </c>
      <c r="AE16" s="57" t="str">
        <f>'18 Spieler'!$W$16</f>
        <v> </v>
      </c>
      <c r="AF16" s="57" t="str">
        <f>'18 Spieler'!$I$42</f>
        <v> </v>
      </c>
      <c r="AG16" s="57" t="str">
        <f>'18 Spieler'!$O$17</f>
        <v> </v>
      </c>
      <c r="AH16" s="57" t="str">
        <f>'18 Spieler'!$AO$28</f>
        <v> </v>
      </c>
      <c r="AI16" s="57" t="str">
        <f>'18 Spieler'!$G$18</f>
        <v> </v>
      </c>
      <c r="AJ16" s="57" t="str">
        <f>'18 Spieler'!$AG$27</f>
        <v> </v>
      </c>
      <c r="AK16" s="57" t="str">
        <f>'18 Spieler'!$O$58</f>
        <v> </v>
      </c>
      <c r="AL16" s="57" t="str">
        <f>'18 Spieler'!$Y$26</f>
        <v> </v>
      </c>
      <c r="AM16" s="57" t="str">
        <f>'18 Spieler'!$G$59</f>
        <v> </v>
      </c>
      <c r="AN16" s="68" t="s">
        <v>26</v>
      </c>
      <c r="AO16" s="57" t="str">
        <f>'18 Spieler'!$AO$46</f>
        <v> </v>
      </c>
      <c r="AP16" s="57" t="str">
        <f>'18 Spieler'!$G$26</f>
        <v> </v>
      </c>
      <c r="AQ16" s="57" t="str">
        <f>'18 Spieler'!$AG$45</f>
        <v> </v>
      </c>
      <c r="AR16" s="57" t="str">
        <f>'18 Spieler'!$AM$14</f>
        <v> </v>
      </c>
      <c r="AS16" s="57" t="str">
        <f>'18 Spieler'!$Y$44</f>
        <v> </v>
      </c>
      <c r="AT16" s="30" t="str">
        <f>'18 Spieler'!$O$25</f>
        <v> </v>
      </c>
      <c r="AU16" s="79" t="str">
        <f t="shared" si="5"/>
        <v> </v>
      </c>
      <c r="AV16" s="77">
        <f t="shared" si="6"/>
      </c>
      <c r="AW16" s="61" t="str">
        <f>IF('Tabelle 18'!$C$5=AB16,'Tabelle 18'!$R$5,"")&amp;IF('Tabelle 18'!$C$6=AB16,'Tabelle 18'!$R$6,"")&amp;IF('Tabelle 18'!$C$7=AB16,'Tabelle 18'!$R$7,"")&amp;IF('Tabelle 18'!$C$8=AB16,'Tabelle 18'!$R$8,"")&amp;IF('Tabelle 18'!$C$9=AB16,'Tabelle 18'!$R$9,"")&amp;IF('Tabelle 18'!$C$10=AB16,'Tabelle 18'!$R$10,"")&amp;IF('Tabelle 18'!$C$11=AB16,'Tabelle 18'!$R$11,"")&amp;IF('Tabelle 18'!$C$12=AB16,'Tabelle 18'!$R$12,"")&amp;IF('Tabelle 18'!$C$13=AB16,'Tabelle 18'!$R$13,"")&amp;IF('Tabelle 18'!$C$14=AB16,'Tabelle 18'!$R$14,"")&amp;IF('Tabelle 18'!$C$15=AB16,'Tabelle 18'!$R$15,"")&amp;IF('Tabelle 18'!$C$16=AB16,'Tabelle 18'!$R$16,"")&amp;IF('Tabelle 18'!$C$17=AB16,'Tabelle 18'!$R$17,"")&amp;IF('Tabelle 18'!$C$18=AB16,'Tabelle 18'!$R$18,"")&amp;IF('Tabelle 18'!$C$19=AB16,'Tabelle 18'!$R$19,"")&amp;IF('Tabelle 18'!$C$20=AB16,'Tabelle 18'!$R$20,"")&amp;IF('Tabelle 18'!$C$21=AB16,'Tabelle 18'!$R$21,"")&amp;IF('Tabelle 18'!$C$22=AB16,'Tabelle 18'!$R$22,"")</f>
        <v> </v>
      </c>
      <c r="AX16" s="119">
        <v>12</v>
      </c>
      <c r="AY16" s="3">
        <f>'Tabelle 18'!N16</f>
        <v>0.07</v>
      </c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2:81" ht="24.75" customHeight="1">
      <c r="B17" s="10">
        <v>13</v>
      </c>
      <c r="C17" s="26" t="str">
        <f t="shared" si="0"/>
        <v>Spieler 13</v>
      </c>
      <c r="D17" s="57" t="str">
        <f t="shared" si="7"/>
        <v> </v>
      </c>
      <c r="E17" s="57" t="str">
        <f t="shared" si="10"/>
        <v> </v>
      </c>
      <c r="F17" s="57" t="str">
        <f t="shared" si="12"/>
        <v> </v>
      </c>
      <c r="G17" s="57" t="str">
        <f t="shared" si="14"/>
        <v> </v>
      </c>
      <c r="H17" s="57" t="str">
        <f t="shared" si="16"/>
        <v> </v>
      </c>
      <c r="I17" s="57" t="str">
        <f t="shared" si="18"/>
        <v> </v>
      </c>
      <c r="J17" s="57" t="str">
        <f t="shared" si="20"/>
        <v> </v>
      </c>
      <c r="K17" s="57" t="str">
        <f t="shared" si="22"/>
        <v> </v>
      </c>
      <c r="L17" s="57" t="str">
        <f t="shared" si="24"/>
        <v> </v>
      </c>
      <c r="M17" s="57" t="str">
        <f t="shared" si="26"/>
        <v> </v>
      </c>
      <c r="N17" s="57" t="str">
        <f t="shared" si="28"/>
        <v> </v>
      </c>
      <c r="O17" s="57" t="str">
        <f aca="true" t="shared" si="30" ref="O17:O22">AN63</f>
        <v> </v>
      </c>
      <c r="P17" s="68"/>
      <c r="Q17" s="57" t="str">
        <f>AP63</f>
        <v> </v>
      </c>
      <c r="R17" s="57" t="str">
        <f>AQ63</f>
        <v> </v>
      </c>
      <c r="S17" s="57" t="str">
        <f>AR63</f>
        <v> </v>
      </c>
      <c r="T17" s="57" t="str">
        <f>AS63</f>
        <v> </v>
      </c>
      <c r="U17" s="30" t="str">
        <f>AT63</f>
        <v> </v>
      </c>
      <c r="V17" s="79" t="str">
        <f t="shared" si="2"/>
        <v> </v>
      </c>
      <c r="W17" s="77">
        <f t="shared" si="3"/>
      </c>
      <c r="X17" s="61" t="str">
        <f t="shared" si="4"/>
        <v> </v>
      </c>
      <c r="Y17" s="2"/>
      <c r="Z17" s="2">
        <f t="shared" si="9"/>
        <v>13</v>
      </c>
      <c r="AA17" s="10">
        <v>13</v>
      </c>
      <c r="AB17" s="26" t="str">
        <f>Eingabe!$G$8</f>
        <v>Spieler 13</v>
      </c>
      <c r="AC17" s="57" t="str">
        <f>'18 Spieler'!$Q$44</f>
        <v> </v>
      </c>
      <c r="AD17" s="57" t="str">
        <f>'18 Spieler'!$W$15</f>
        <v> </v>
      </c>
      <c r="AE17" s="57" t="str">
        <f>'18 Spieler'!$I$43</f>
        <v> </v>
      </c>
      <c r="AF17" s="57" t="str">
        <f>'18 Spieler'!$O$16</f>
        <v> </v>
      </c>
      <c r="AG17" s="57" t="str">
        <f>'18 Spieler'!$AO$29</f>
        <v> </v>
      </c>
      <c r="AH17" s="57" t="str">
        <f>'18 Spieler'!$G$17</f>
        <v> </v>
      </c>
      <c r="AI17" s="57" t="str">
        <f>'18 Spieler'!$AG$28</f>
        <v> </v>
      </c>
      <c r="AJ17" s="57" t="str">
        <f>'18 Spieler'!$O$57</f>
        <v> </v>
      </c>
      <c r="AK17" s="57" t="str">
        <f>'18 Spieler'!$Y$27</f>
        <v> </v>
      </c>
      <c r="AL17" s="57" t="str">
        <f>'18 Spieler'!$G$58</f>
        <v> </v>
      </c>
      <c r="AM17" s="57" t="str">
        <f>'18 Spieler'!$Q$26</f>
        <v> </v>
      </c>
      <c r="AN17" s="57" t="str">
        <f>'18 Spieler'!$AM$46</f>
        <v> </v>
      </c>
      <c r="AO17" s="68" t="s">
        <v>26</v>
      </c>
      <c r="AP17" s="57" t="str">
        <f>'18 Spieler'!$AG$46</f>
        <v> </v>
      </c>
      <c r="AQ17" s="57" t="str">
        <f>'18 Spieler'!$AM$13</f>
        <v> </v>
      </c>
      <c r="AR17" s="57" t="str">
        <f>'18 Spieler'!$Y$45</f>
        <v> </v>
      </c>
      <c r="AS17" s="57" t="str">
        <f>'18 Spieler'!$AE$14</f>
        <v> </v>
      </c>
      <c r="AT17" s="30" t="str">
        <f>'18 Spieler'!$G$25</f>
        <v> </v>
      </c>
      <c r="AU17" s="79" t="str">
        <f t="shared" si="5"/>
        <v> </v>
      </c>
      <c r="AV17" s="77">
        <f t="shared" si="6"/>
      </c>
      <c r="AW17" s="61" t="str">
        <f>IF('Tabelle 18'!$C$5=AB17,'Tabelle 18'!$R$5,"")&amp;IF('Tabelle 18'!$C$6=AB17,'Tabelle 18'!$R$6,"")&amp;IF('Tabelle 18'!$C$7=AB17,'Tabelle 18'!$R$7,"")&amp;IF('Tabelle 18'!$C$8=AB17,'Tabelle 18'!$R$8,"")&amp;IF('Tabelle 18'!$C$9=AB17,'Tabelle 18'!$R$9,"")&amp;IF('Tabelle 18'!$C$10=AB17,'Tabelle 18'!$R$10,"")&amp;IF('Tabelle 18'!$C$11=AB17,'Tabelle 18'!$R$11,"")&amp;IF('Tabelle 18'!$C$12=AB17,'Tabelle 18'!$R$12,"")&amp;IF('Tabelle 18'!$C$13=AB17,'Tabelle 18'!$R$13,"")&amp;IF('Tabelle 18'!$C$14=AB17,'Tabelle 18'!$R$14,"")&amp;IF('Tabelle 18'!$C$15=AB17,'Tabelle 18'!$R$15,"")&amp;IF('Tabelle 18'!$C$16=AB17,'Tabelle 18'!$R$16,"")&amp;IF('Tabelle 18'!$C$17=AB17,'Tabelle 18'!$R$17,"")&amp;IF('Tabelle 18'!$C$18=AB17,'Tabelle 18'!$R$18,"")&amp;IF('Tabelle 18'!$C$19=AB17,'Tabelle 18'!$R$19,"")&amp;IF('Tabelle 18'!$C$20=AB17,'Tabelle 18'!$R$20,"")&amp;IF('Tabelle 18'!$C$21=AB17,'Tabelle 18'!$R$21,"")&amp;IF('Tabelle 18'!$C$22=AB17,'Tabelle 18'!$R$22,"")</f>
        <v> </v>
      </c>
      <c r="AX17" s="119">
        <v>13</v>
      </c>
      <c r="AY17" s="3">
        <f>'Tabelle 18'!N17</f>
        <v>0.06</v>
      </c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2:81" ht="24.75" customHeight="1">
      <c r="B18" s="10">
        <v>14</v>
      </c>
      <c r="C18" s="26" t="str">
        <f t="shared" si="0"/>
        <v>Spieler 14</v>
      </c>
      <c r="D18" s="57" t="str">
        <f t="shared" si="7"/>
        <v> </v>
      </c>
      <c r="E18" s="57" t="str">
        <f t="shared" si="10"/>
        <v> </v>
      </c>
      <c r="F18" s="57" t="str">
        <f t="shared" si="12"/>
        <v> </v>
      </c>
      <c r="G18" s="57" t="str">
        <f t="shared" si="14"/>
        <v> </v>
      </c>
      <c r="H18" s="57" t="str">
        <f t="shared" si="16"/>
        <v> </v>
      </c>
      <c r="I18" s="57" t="str">
        <f t="shared" si="18"/>
        <v> </v>
      </c>
      <c r="J18" s="57" t="str">
        <f t="shared" si="20"/>
        <v> </v>
      </c>
      <c r="K18" s="57" t="str">
        <f t="shared" si="22"/>
        <v> </v>
      </c>
      <c r="L18" s="57" t="str">
        <f t="shared" si="24"/>
        <v> </v>
      </c>
      <c r="M18" s="57" t="str">
        <f t="shared" si="26"/>
        <v> </v>
      </c>
      <c r="N18" s="57" t="str">
        <f t="shared" si="28"/>
        <v> </v>
      </c>
      <c r="O18" s="57" t="str">
        <f t="shared" si="30"/>
        <v> </v>
      </c>
      <c r="P18" s="57" t="str">
        <f>AO64</f>
        <v> </v>
      </c>
      <c r="Q18" s="68"/>
      <c r="R18" s="57" t="str">
        <f>AQ64</f>
        <v> </v>
      </c>
      <c r="S18" s="57" t="str">
        <f>AR64</f>
        <v> </v>
      </c>
      <c r="T18" s="57" t="str">
        <f>AS64</f>
        <v> </v>
      </c>
      <c r="U18" s="30" t="str">
        <f>AT64</f>
        <v> </v>
      </c>
      <c r="V18" s="79" t="str">
        <f t="shared" si="2"/>
        <v> </v>
      </c>
      <c r="W18" s="77">
        <f t="shared" si="3"/>
      </c>
      <c r="X18" s="61" t="str">
        <f t="shared" si="4"/>
        <v> </v>
      </c>
      <c r="Y18" s="2"/>
      <c r="Z18" s="2">
        <f t="shared" si="9"/>
        <v>14</v>
      </c>
      <c r="AA18" s="10">
        <v>14</v>
      </c>
      <c r="AB18" s="26" t="str">
        <f>Eingabe!$G$9</f>
        <v>Spieler 14</v>
      </c>
      <c r="AC18" s="57" t="str">
        <f>'18 Spieler'!$W$14</f>
        <v> </v>
      </c>
      <c r="AD18" s="57" t="str">
        <f>'18 Spieler'!$I$44</f>
        <v> </v>
      </c>
      <c r="AE18" s="57" t="str">
        <f>'18 Spieler'!$O$15</f>
        <v> </v>
      </c>
      <c r="AF18" s="57" t="str">
        <f>'18 Spieler'!$AO$30</f>
        <v> </v>
      </c>
      <c r="AG18" s="57" t="str">
        <f>'18 Spieler'!$G$16</f>
        <v> </v>
      </c>
      <c r="AH18" s="57" t="str">
        <f>'18 Spieler'!$AG$29</f>
        <v> </v>
      </c>
      <c r="AI18" s="57" t="str">
        <f>'18 Spieler'!$O$56</f>
        <v> </v>
      </c>
      <c r="AJ18" s="57" t="str">
        <f>'18 Spieler'!$Y$28</f>
        <v> </v>
      </c>
      <c r="AK18" s="57" t="str">
        <f>'18 Spieler'!$G$57</f>
        <v> </v>
      </c>
      <c r="AL18" s="57" t="str">
        <f>'18 Spieler'!$Q$27</f>
        <v> </v>
      </c>
      <c r="AM18" s="57" t="str">
        <f>'18 Spieler'!$AM45</f>
        <v> </v>
      </c>
      <c r="AN18" s="57" t="str">
        <f>'18 Spieler'!$I$26</f>
        <v> </v>
      </c>
      <c r="AO18" s="57" t="str">
        <f>'18 Spieler'!$AE$46</f>
        <v> </v>
      </c>
      <c r="AP18" s="68" t="s">
        <v>26</v>
      </c>
      <c r="AQ18" s="57" t="str">
        <f>'18 Spieler'!$Y$46</f>
        <v> </v>
      </c>
      <c r="AR18" s="57" t="str">
        <f>'18 Spieler'!$AE$13</f>
        <v> </v>
      </c>
      <c r="AS18" s="57" t="str">
        <f>'18 Spieler'!$Q$45</f>
        <v> </v>
      </c>
      <c r="AT18" s="30" t="str">
        <f>'18 Spieler'!$AM$12</f>
        <v> </v>
      </c>
      <c r="AU18" s="79" t="str">
        <f t="shared" si="5"/>
        <v> </v>
      </c>
      <c r="AV18" s="77">
        <f t="shared" si="6"/>
      </c>
      <c r="AW18" s="61" t="str">
        <f>IF('Tabelle 18'!$C$5=AB18,'Tabelle 18'!$R$5,"")&amp;IF('Tabelle 18'!$C$6=AB18,'Tabelle 18'!$R$6,"")&amp;IF('Tabelle 18'!$C$7=AB18,'Tabelle 18'!$R$7,"")&amp;IF('Tabelle 18'!$C$8=AB18,'Tabelle 18'!$R$8,"")&amp;IF('Tabelle 18'!$C$9=AB18,'Tabelle 18'!$R$9,"")&amp;IF('Tabelle 18'!$C$10=AB18,'Tabelle 18'!$R$10,"")&amp;IF('Tabelle 18'!$C$11=AB18,'Tabelle 18'!$R$11,"")&amp;IF('Tabelle 18'!$C$12=AB18,'Tabelle 18'!$R$12,"")&amp;IF('Tabelle 18'!$C$13=AB18,'Tabelle 18'!$R$13,"")&amp;IF('Tabelle 18'!$C$14=AB18,'Tabelle 18'!$R$14,"")&amp;IF('Tabelle 18'!$C$15=AB18,'Tabelle 18'!$R$15,"")&amp;IF('Tabelle 18'!$C$16=AB18,'Tabelle 18'!$R$16,"")&amp;IF('Tabelle 18'!$C$17=AB18,'Tabelle 18'!$R$17,"")&amp;IF('Tabelle 18'!$C$18=AB18,'Tabelle 18'!$R$18,"")&amp;IF('Tabelle 18'!$C$19=AB18,'Tabelle 18'!$R$19,"")&amp;IF('Tabelle 18'!$C$20=AB18,'Tabelle 18'!$R$20,"")&amp;IF('Tabelle 18'!$C$21=AB18,'Tabelle 18'!$R$21,"")&amp;IF('Tabelle 18'!$C$22=AB18,'Tabelle 18'!$R$22,"")</f>
        <v> </v>
      </c>
      <c r="AX18" s="119">
        <v>14</v>
      </c>
      <c r="AY18" s="3">
        <f>'Tabelle 18'!N18</f>
        <v>0.05</v>
      </c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2:81" ht="24.75" customHeight="1">
      <c r="B19" s="10">
        <v>15</v>
      </c>
      <c r="C19" s="26" t="str">
        <f t="shared" si="0"/>
        <v>Spieler 15</v>
      </c>
      <c r="D19" s="57" t="str">
        <f t="shared" si="7"/>
        <v> </v>
      </c>
      <c r="E19" s="57" t="str">
        <f t="shared" si="10"/>
        <v> </v>
      </c>
      <c r="F19" s="57" t="str">
        <f t="shared" si="12"/>
        <v> </v>
      </c>
      <c r="G19" s="57" t="str">
        <f t="shared" si="14"/>
        <v> </v>
      </c>
      <c r="H19" s="57" t="str">
        <f t="shared" si="16"/>
        <v> </v>
      </c>
      <c r="I19" s="57" t="str">
        <f t="shared" si="18"/>
        <v> </v>
      </c>
      <c r="J19" s="57" t="str">
        <f t="shared" si="20"/>
        <v> </v>
      </c>
      <c r="K19" s="57" t="str">
        <f t="shared" si="22"/>
        <v> </v>
      </c>
      <c r="L19" s="57" t="str">
        <f t="shared" si="24"/>
        <v> </v>
      </c>
      <c r="M19" s="57" t="str">
        <f t="shared" si="26"/>
        <v> </v>
      </c>
      <c r="N19" s="57" t="str">
        <f t="shared" si="28"/>
        <v> </v>
      </c>
      <c r="O19" s="57" t="str">
        <f t="shared" si="30"/>
        <v> </v>
      </c>
      <c r="P19" s="57" t="str">
        <f>AO65</f>
        <v> </v>
      </c>
      <c r="Q19" s="57" t="str">
        <f>AP65</f>
        <v> </v>
      </c>
      <c r="R19" s="68"/>
      <c r="S19" s="57" t="str">
        <f>AR65</f>
        <v> </v>
      </c>
      <c r="T19" s="57" t="str">
        <f>AS65</f>
        <v> </v>
      </c>
      <c r="U19" s="30" t="str">
        <f>AT65</f>
        <v> </v>
      </c>
      <c r="V19" s="79" t="str">
        <f t="shared" si="2"/>
        <v> </v>
      </c>
      <c r="W19" s="77">
        <f t="shared" si="3"/>
      </c>
      <c r="X19" s="61" t="str">
        <f t="shared" si="4"/>
        <v> </v>
      </c>
      <c r="Y19" s="2"/>
      <c r="Z19" s="2">
        <f t="shared" si="9"/>
        <v>15</v>
      </c>
      <c r="AA19" s="10">
        <v>15</v>
      </c>
      <c r="AB19" s="26" t="str">
        <f>Eingabe!$G$10</f>
        <v>Spieler 15</v>
      </c>
      <c r="AC19" s="57" t="str">
        <f>'18 Spieler'!$I$45</f>
        <v> </v>
      </c>
      <c r="AD19" s="57" t="str">
        <f>'18 Spieler'!$O$14</f>
        <v> </v>
      </c>
      <c r="AE19" s="57" t="str">
        <f>'18 Spieler'!$AO$31</f>
        <v> </v>
      </c>
      <c r="AF19" s="57" t="str">
        <f>'18 Spieler'!$G$15</f>
        <v> </v>
      </c>
      <c r="AG19" s="57" t="str">
        <f>'18 Spieler'!$AG$30</f>
        <v> </v>
      </c>
      <c r="AH19" s="57" t="str">
        <f>'18 Spieler'!$O$55</f>
        <v> </v>
      </c>
      <c r="AI19" s="57" t="str">
        <f>'18 Spieler'!$Y$29</f>
        <v> </v>
      </c>
      <c r="AJ19" s="57" t="str">
        <f>'18 Spieler'!$G$56</f>
        <v> </v>
      </c>
      <c r="AK19" s="57" t="str">
        <f>'18 Spieler'!$Q$28</f>
        <v> </v>
      </c>
      <c r="AL19" s="57" t="str">
        <f>'18 Spieler'!$AM$44</f>
        <v> </v>
      </c>
      <c r="AM19" s="57" t="str">
        <f>'18 Spieler'!$I$27</f>
        <v> </v>
      </c>
      <c r="AN19" s="57" t="str">
        <f>'18 Spieler'!$AE$45</f>
        <v> </v>
      </c>
      <c r="AO19" s="57" t="str">
        <f>'18 Spieler'!$AO$13</f>
        <v> </v>
      </c>
      <c r="AP19" s="57" t="str">
        <f>'18 Spieler'!$W$46</f>
        <v> </v>
      </c>
      <c r="AQ19" s="68" t="s">
        <v>26</v>
      </c>
      <c r="AR19" s="57" t="str">
        <f>'18 Spieler'!$Q$46</f>
        <v> </v>
      </c>
      <c r="AS19" s="57" t="str">
        <f>'18 Spieler'!$W$13</f>
        <v> </v>
      </c>
      <c r="AT19" s="30" t="str">
        <f>'18 Spieler'!$AE$12</f>
        <v> </v>
      </c>
      <c r="AU19" s="79" t="str">
        <f t="shared" si="5"/>
        <v> </v>
      </c>
      <c r="AV19" s="77">
        <f t="shared" si="6"/>
      </c>
      <c r="AW19" s="61" t="str">
        <f>IF('Tabelle 18'!$C$5=AB19,'Tabelle 18'!$R$5,"")&amp;IF('Tabelle 18'!$C$6=AB19,'Tabelle 18'!$R$6,"")&amp;IF('Tabelle 18'!$C$7=AB19,'Tabelle 18'!$R$7,"")&amp;IF('Tabelle 18'!$C$8=AB19,'Tabelle 18'!$R$8,"")&amp;IF('Tabelle 18'!$C$9=AB19,'Tabelle 18'!$R$9,"")&amp;IF('Tabelle 18'!$C$10=AB19,'Tabelle 18'!$R$10,"")&amp;IF('Tabelle 18'!$C$11=AB19,'Tabelle 18'!$R$11,"")&amp;IF('Tabelle 18'!$C$12=AB19,'Tabelle 18'!$R$12,"")&amp;IF('Tabelle 18'!$C$13=AB19,'Tabelle 18'!$R$13,"")&amp;IF('Tabelle 18'!$C$14=AB19,'Tabelle 18'!$R$14,"")&amp;IF('Tabelle 18'!$C$15=AB19,'Tabelle 18'!$R$15,"")&amp;IF('Tabelle 18'!$C$16=AB19,'Tabelle 18'!$R$16,"")&amp;IF('Tabelle 18'!$C$17=AB19,'Tabelle 18'!$R$17,"")&amp;IF('Tabelle 18'!$C$18=AB19,'Tabelle 18'!$R$18,"")&amp;IF('Tabelle 18'!$C$19=AB19,'Tabelle 18'!$R$19,"")&amp;IF('Tabelle 18'!$C$20=AB19,'Tabelle 18'!$R$20,"")&amp;IF('Tabelle 18'!$C$21=AB19,'Tabelle 18'!$R$21,"")&amp;IF('Tabelle 18'!$C$22=AB19,'Tabelle 18'!$R$22,"")</f>
        <v> </v>
      </c>
      <c r="AX19" s="119">
        <v>15</v>
      </c>
      <c r="AY19" s="3">
        <f>'Tabelle 18'!N19</f>
        <v>0.04</v>
      </c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2:81" ht="24.75" customHeight="1">
      <c r="B20" s="10">
        <v>16</v>
      </c>
      <c r="C20" s="26" t="str">
        <f t="shared" si="0"/>
        <v>Spieler 16</v>
      </c>
      <c r="D20" s="57" t="str">
        <f t="shared" si="7"/>
        <v> </v>
      </c>
      <c r="E20" s="57" t="str">
        <f t="shared" si="10"/>
        <v> </v>
      </c>
      <c r="F20" s="57" t="str">
        <f t="shared" si="12"/>
        <v> </v>
      </c>
      <c r="G20" s="57" t="str">
        <f t="shared" si="14"/>
        <v> </v>
      </c>
      <c r="H20" s="57" t="str">
        <f t="shared" si="16"/>
        <v> </v>
      </c>
      <c r="I20" s="57" t="str">
        <f t="shared" si="18"/>
        <v> </v>
      </c>
      <c r="J20" s="57" t="str">
        <f t="shared" si="20"/>
        <v> </v>
      </c>
      <c r="K20" s="57" t="str">
        <f t="shared" si="22"/>
        <v> </v>
      </c>
      <c r="L20" s="57" t="str">
        <f t="shared" si="24"/>
        <v> </v>
      </c>
      <c r="M20" s="57" t="str">
        <f t="shared" si="26"/>
        <v> </v>
      </c>
      <c r="N20" s="57" t="str">
        <f t="shared" si="28"/>
        <v> </v>
      </c>
      <c r="O20" s="57" t="str">
        <f t="shared" si="30"/>
        <v> </v>
      </c>
      <c r="P20" s="57" t="str">
        <f>AO66</f>
        <v> </v>
      </c>
      <c r="Q20" s="57" t="str">
        <f>AP66</f>
        <v> </v>
      </c>
      <c r="R20" s="57" t="str">
        <f>AQ66</f>
        <v> </v>
      </c>
      <c r="S20" s="68"/>
      <c r="T20" s="57" t="str">
        <f>AS66</f>
        <v> </v>
      </c>
      <c r="U20" s="30" t="str">
        <f>AT66</f>
        <v> </v>
      </c>
      <c r="V20" s="79" t="str">
        <f t="shared" si="2"/>
        <v> </v>
      </c>
      <c r="W20" s="77">
        <f t="shared" si="3"/>
      </c>
      <c r="X20" s="61" t="str">
        <f t="shared" si="4"/>
        <v> </v>
      </c>
      <c r="Y20" s="2"/>
      <c r="Z20" s="2">
        <f t="shared" si="9"/>
        <v>16</v>
      </c>
      <c r="AA20" s="10">
        <v>16</v>
      </c>
      <c r="AB20" s="26" t="str">
        <f>Eingabe!$G$11</f>
        <v>Spieler 16</v>
      </c>
      <c r="AC20" s="57" t="str">
        <f>'18 Spieler'!$O$13</f>
        <v> </v>
      </c>
      <c r="AD20" s="57" t="str">
        <f>'18 Spieler'!$AO$32</f>
        <v> </v>
      </c>
      <c r="AE20" s="57" t="str">
        <f>'18 Spieler'!$G$14</f>
        <v> </v>
      </c>
      <c r="AF20" s="57" t="str">
        <f>'18 Spieler'!$AG$31</f>
        <v> </v>
      </c>
      <c r="AG20" s="57" t="str">
        <f>'18 Spieler'!$O$54</f>
        <v> </v>
      </c>
      <c r="AH20" s="57" t="str">
        <f>'18 Spieler'!$Y$30</f>
        <v> </v>
      </c>
      <c r="AI20" s="57" t="str">
        <f>'18 Spieler'!$G$55</f>
        <v> </v>
      </c>
      <c r="AJ20" s="57" t="str">
        <f>'18 Spieler'!$Q$29</f>
        <v> </v>
      </c>
      <c r="AK20" s="57" t="str">
        <f>'18 Spieler'!$AM$43</f>
        <v> </v>
      </c>
      <c r="AL20" s="57" t="str">
        <f>'18 Spieler'!$I$28</f>
        <v> </v>
      </c>
      <c r="AM20" s="57" t="str">
        <f>'18 Spieler'!$AE$44</f>
        <v> </v>
      </c>
      <c r="AN20" s="57" t="str">
        <f>'18 Spieler'!$AO$14</f>
        <v> </v>
      </c>
      <c r="AO20" s="57" t="str">
        <f>'18 Spieler'!$W$45</f>
        <v> </v>
      </c>
      <c r="AP20" s="57" t="str">
        <f>'18 Spieler'!$AG$13</f>
        <v> </v>
      </c>
      <c r="AQ20" s="57" t="str">
        <f>'18 Spieler'!$O$46</f>
        <v> </v>
      </c>
      <c r="AR20" s="68" t="s">
        <v>26</v>
      </c>
      <c r="AS20" s="57" t="str">
        <f>'18 Spieler'!$I$46</f>
        <v> </v>
      </c>
      <c r="AT20" s="30" t="str">
        <f>'18 Spieler'!$W$12</f>
        <v> </v>
      </c>
      <c r="AU20" s="79" t="str">
        <f t="shared" si="5"/>
        <v> </v>
      </c>
      <c r="AV20" s="77">
        <f t="shared" si="6"/>
      </c>
      <c r="AW20" s="61" t="str">
        <f>IF('Tabelle 18'!$C$5=AB20,'Tabelle 18'!$R$5,"")&amp;IF('Tabelle 18'!$C$6=AB20,'Tabelle 18'!$R$6,"")&amp;IF('Tabelle 18'!$C$7=AB20,'Tabelle 18'!$R$7,"")&amp;IF('Tabelle 18'!$C$8=AB20,'Tabelle 18'!$R$8,"")&amp;IF('Tabelle 18'!$C$9=AB20,'Tabelle 18'!$R$9,"")&amp;IF('Tabelle 18'!$C$10=AB20,'Tabelle 18'!$R$10,"")&amp;IF('Tabelle 18'!$C$11=AB20,'Tabelle 18'!$R$11,"")&amp;IF('Tabelle 18'!$C$12=AB20,'Tabelle 18'!$R$12,"")&amp;IF('Tabelle 18'!$C$13=AB20,'Tabelle 18'!$R$13,"")&amp;IF('Tabelle 18'!$C$14=AB20,'Tabelle 18'!$R$14,"")&amp;IF('Tabelle 18'!$C$15=AB20,'Tabelle 18'!$R$15,"")&amp;IF('Tabelle 18'!$C$16=AB20,'Tabelle 18'!$R$16,"")&amp;IF('Tabelle 18'!$C$17=AB20,'Tabelle 18'!$R$17,"")&amp;IF('Tabelle 18'!$C$18=AB20,'Tabelle 18'!$R$18,"")&amp;IF('Tabelle 18'!$C$19=AB20,'Tabelle 18'!$R$19,"")&amp;IF('Tabelle 18'!$C$20=AB20,'Tabelle 18'!$R$20,"")&amp;IF('Tabelle 18'!$C$21=AB20,'Tabelle 18'!$R$21,"")&amp;IF('Tabelle 18'!$C$22=AB20,'Tabelle 18'!$R$22,"")</f>
        <v> </v>
      </c>
      <c r="AX20" s="119">
        <v>16</v>
      </c>
      <c r="AY20" s="3">
        <f>'Tabelle 18'!N20</f>
        <v>0.03</v>
      </c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2:81" ht="24.75" customHeight="1">
      <c r="B21" s="10">
        <v>17</v>
      </c>
      <c r="C21" s="26" t="str">
        <f t="shared" si="0"/>
        <v>Spieler 17</v>
      </c>
      <c r="D21" s="57" t="str">
        <f t="shared" si="7"/>
        <v> </v>
      </c>
      <c r="E21" s="57" t="str">
        <f t="shared" si="10"/>
        <v> </v>
      </c>
      <c r="F21" s="57" t="str">
        <f t="shared" si="12"/>
        <v> </v>
      </c>
      <c r="G21" s="57" t="str">
        <f t="shared" si="14"/>
        <v> </v>
      </c>
      <c r="H21" s="57" t="str">
        <f t="shared" si="16"/>
        <v> </v>
      </c>
      <c r="I21" s="57" t="str">
        <f t="shared" si="18"/>
        <v> </v>
      </c>
      <c r="J21" s="57" t="str">
        <f t="shared" si="20"/>
        <v> </v>
      </c>
      <c r="K21" s="57" t="str">
        <f t="shared" si="22"/>
        <v> </v>
      </c>
      <c r="L21" s="57" t="str">
        <f t="shared" si="24"/>
        <v> </v>
      </c>
      <c r="M21" s="57" t="str">
        <f t="shared" si="26"/>
        <v> </v>
      </c>
      <c r="N21" s="57" t="str">
        <f t="shared" si="28"/>
        <v> </v>
      </c>
      <c r="O21" s="57" t="str">
        <f t="shared" si="30"/>
        <v> </v>
      </c>
      <c r="P21" s="57" t="str">
        <f>AO67</f>
        <v> </v>
      </c>
      <c r="Q21" s="57" t="str">
        <f>AP67</f>
        <v> </v>
      </c>
      <c r="R21" s="57" t="str">
        <f>AQ67</f>
        <v> </v>
      </c>
      <c r="S21" s="57" t="str">
        <f>AR67</f>
        <v> </v>
      </c>
      <c r="T21" s="68"/>
      <c r="U21" s="30" t="str">
        <f>AT67</f>
        <v> </v>
      </c>
      <c r="V21" s="79" t="str">
        <f t="shared" si="2"/>
        <v> </v>
      </c>
      <c r="W21" s="77">
        <f t="shared" si="3"/>
      </c>
      <c r="X21" s="61" t="str">
        <f t="shared" si="4"/>
        <v> </v>
      </c>
      <c r="Y21" s="2"/>
      <c r="Z21" s="2">
        <f t="shared" si="9"/>
        <v>17</v>
      </c>
      <c r="AA21" s="10">
        <v>17</v>
      </c>
      <c r="AB21" s="26" t="str">
        <f>Eingabe!$G$12</f>
        <v>Spieler 17</v>
      </c>
      <c r="AC21" s="57" t="str">
        <f>'18 Spieler'!$AO$33</f>
        <v> </v>
      </c>
      <c r="AD21" s="57" t="str">
        <f>'18 Spieler'!$G$13</f>
        <v> </v>
      </c>
      <c r="AE21" s="57" t="str">
        <f>'18 Spieler'!$AG$32</f>
        <v> </v>
      </c>
      <c r="AF21" s="57" t="str">
        <f>'18 Spieler'!$O$53</f>
        <v> </v>
      </c>
      <c r="AG21" s="57" t="str">
        <f>'18 Spieler'!$Y$31</f>
        <v> </v>
      </c>
      <c r="AH21" s="57" t="str">
        <f>'18 Spieler'!$G$54</f>
        <v> </v>
      </c>
      <c r="AI21" s="57" t="str">
        <f>'18 Spieler'!$Q$30</f>
        <v> </v>
      </c>
      <c r="AJ21" s="57" t="str">
        <f>'18 Spieler'!$AM$42</f>
        <v> </v>
      </c>
      <c r="AK21" s="57" t="str">
        <f>'18 Spieler'!$I$29</f>
        <v> </v>
      </c>
      <c r="AL21" s="57" t="str">
        <f>'18 Spieler'!$AE$43</f>
        <v> </v>
      </c>
      <c r="AM21" s="57" t="str">
        <f>'18 Spieler'!$AO$15</f>
        <v> </v>
      </c>
      <c r="AN21" s="57" t="str">
        <f>'18 Spieler'!$W$44</f>
        <v> </v>
      </c>
      <c r="AO21" s="57" t="str">
        <f>'18 Spieler'!$AG$14</f>
        <v> </v>
      </c>
      <c r="AP21" s="57" t="str">
        <f>'18 Spieler'!$O$45</f>
        <v> </v>
      </c>
      <c r="AQ21" s="57" t="str">
        <f>'18 Spieler'!$Y$13</f>
        <v> </v>
      </c>
      <c r="AR21" s="57" t="str">
        <f>'18 Spieler'!$G$46</f>
        <v> </v>
      </c>
      <c r="AS21" s="68" t="s">
        <v>26</v>
      </c>
      <c r="AT21" s="30" t="str">
        <f>'18 Spieler'!$O$12</f>
        <v> </v>
      </c>
      <c r="AU21" s="79" t="str">
        <f t="shared" si="5"/>
        <v> </v>
      </c>
      <c r="AV21" s="77">
        <f t="shared" si="6"/>
      </c>
      <c r="AW21" s="61" t="str">
        <f>IF('Tabelle 18'!$C$5=AB21,'Tabelle 18'!$R$5,"")&amp;IF('Tabelle 18'!$C$6=AB21,'Tabelle 18'!$R$6,"")&amp;IF('Tabelle 18'!$C$7=AB21,'Tabelle 18'!$R$7,"")&amp;IF('Tabelle 18'!$C$8=AB21,'Tabelle 18'!$R$8,"")&amp;IF('Tabelle 18'!$C$9=AB21,'Tabelle 18'!$R$9,"")&amp;IF('Tabelle 18'!$C$10=AB21,'Tabelle 18'!$R$10,"")&amp;IF('Tabelle 18'!$C$11=AB21,'Tabelle 18'!$R$11,"")&amp;IF('Tabelle 18'!$C$12=AB21,'Tabelle 18'!$R$12,"")&amp;IF('Tabelle 18'!$C$13=AB21,'Tabelle 18'!$R$13,"")&amp;IF('Tabelle 18'!$C$14=AB21,'Tabelle 18'!$R$14,"")&amp;IF('Tabelle 18'!$C$15=AB21,'Tabelle 18'!$R$15,"")&amp;IF('Tabelle 18'!$C$16=AB21,'Tabelle 18'!$R$16,"")&amp;IF('Tabelle 18'!$C$17=AB21,'Tabelle 18'!$R$17,"")&amp;IF('Tabelle 18'!$C$18=AB21,'Tabelle 18'!$R$18,"")&amp;IF('Tabelle 18'!$C$19=AB21,'Tabelle 18'!$R$19,"")&amp;IF('Tabelle 18'!$C$20=AB21,'Tabelle 18'!$R$20,"")&amp;IF('Tabelle 18'!$C$21=AB21,'Tabelle 18'!$R$21,"")&amp;IF('Tabelle 18'!$C$22=AB21,'Tabelle 18'!$R$22,"")</f>
        <v> </v>
      </c>
      <c r="AX21" s="119">
        <v>17</v>
      </c>
      <c r="AY21" s="3">
        <f>'Tabelle 18'!N21</f>
        <v>0.02</v>
      </c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81" ht="24.75" customHeight="1" thickBot="1">
      <c r="B22" s="25">
        <v>18</v>
      </c>
      <c r="C22" s="27" t="str">
        <f t="shared" si="0"/>
        <v>Spieler 18 / spielfrei</v>
      </c>
      <c r="D22" s="58" t="str">
        <f t="shared" si="7"/>
        <v> </v>
      </c>
      <c r="E22" s="58" t="str">
        <f t="shared" si="10"/>
        <v> </v>
      </c>
      <c r="F22" s="58" t="str">
        <f t="shared" si="12"/>
        <v> </v>
      </c>
      <c r="G22" s="58" t="str">
        <f t="shared" si="14"/>
        <v> </v>
      </c>
      <c r="H22" s="58" t="str">
        <f t="shared" si="16"/>
        <v> </v>
      </c>
      <c r="I22" s="58" t="str">
        <f t="shared" si="18"/>
        <v> </v>
      </c>
      <c r="J22" s="58" t="str">
        <f t="shared" si="20"/>
        <v> </v>
      </c>
      <c r="K22" s="58" t="str">
        <f t="shared" si="22"/>
        <v> </v>
      </c>
      <c r="L22" s="58" t="str">
        <f t="shared" si="24"/>
        <v> </v>
      </c>
      <c r="M22" s="58" t="str">
        <f t="shared" si="26"/>
        <v> </v>
      </c>
      <c r="N22" s="58" t="str">
        <f t="shared" si="28"/>
        <v> </v>
      </c>
      <c r="O22" s="58" t="str">
        <f t="shared" si="30"/>
        <v> </v>
      </c>
      <c r="P22" s="58" t="str">
        <f>AO68</f>
        <v> </v>
      </c>
      <c r="Q22" s="58" t="str">
        <f>AP68</f>
        <v> </v>
      </c>
      <c r="R22" s="58" t="str">
        <f>AQ68</f>
        <v> </v>
      </c>
      <c r="S22" s="58" t="str">
        <f>AR68</f>
        <v> </v>
      </c>
      <c r="T22" s="58" t="str">
        <f>AS68</f>
        <v> </v>
      </c>
      <c r="U22" s="69"/>
      <c r="V22" s="80" t="str">
        <f t="shared" si="2"/>
        <v> </v>
      </c>
      <c r="W22" s="78">
        <f t="shared" si="3"/>
      </c>
      <c r="X22" s="62" t="str">
        <f t="shared" si="4"/>
        <v> </v>
      </c>
      <c r="Y22" s="2"/>
      <c r="Z22" s="2">
        <f t="shared" si="9"/>
        <v>18</v>
      </c>
      <c r="AA22" s="25">
        <v>18</v>
      </c>
      <c r="AB22" s="27" t="str">
        <f>Eingabe!$G$13</f>
        <v>Spieler 18 / spielfrei</v>
      </c>
      <c r="AC22" s="58" t="str">
        <f>'18 Spieler'!$I$12</f>
        <v> </v>
      </c>
      <c r="AD22" s="58" t="str">
        <f>'18 Spieler'!$Q$51</f>
        <v> </v>
      </c>
      <c r="AE22" s="58" t="str">
        <f>'18 Spieler'!$I$51</f>
        <v> </v>
      </c>
      <c r="AF22" s="58" t="str">
        <f>'18 Spieler'!$AO$38</f>
        <v> </v>
      </c>
      <c r="AG22" s="58" t="str">
        <f>'18 Spieler'!$AG$38</f>
        <v> </v>
      </c>
      <c r="AH22" s="58" t="str">
        <f>'18 Spieler'!$Y$38</f>
        <v> </v>
      </c>
      <c r="AI22" s="58" t="str">
        <f>'18 Spieler'!$Q$38</f>
        <v> </v>
      </c>
      <c r="AJ22" s="58" t="str">
        <f>'18 Spieler'!$I$38</f>
        <v> </v>
      </c>
      <c r="AK22" s="58" t="str">
        <f>'18 Spieler'!$AO$25</f>
        <v> </v>
      </c>
      <c r="AL22" s="58" t="str">
        <f>'18 Spieler'!$AG$25</f>
        <v> </v>
      </c>
      <c r="AM22" s="58" t="str">
        <f>'18 Spieler'!$Y$25</f>
        <v> </v>
      </c>
      <c r="AN22" s="58" t="str">
        <f>'18 Spieler'!$Q$25</f>
        <v> </v>
      </c>
      <c r="AO22" s="58" t="str">
        <f>'18 Spieler'!$I$25</f>
        <v> </v>
      </c>
      <c r="AP22" s="58" t="str">
        <f>'18 Spieler'!$AO$12</f>
        <v> </v>
      </c>
      <c r="AQ22" s="58" t="str">
        <f>'18 Spieler'!$AG$12</f>
        <v> </v>
      </c>
      <c r="AR22" s="58" t="str">
        <f>'18 Spieler'!$Y$12</f>
        <v> </v>
      </c>
      <c r="AS22" s="58" t="str">
        <f>'18 Spieler'!$Q$12</f>
        <v> </v>
      </c>
      <c r="AT22" s="69" t="s">
        <v>26</v>
      </c>
      <c r="AU22" s="80" t="str">
        <f t="shared" si="5"/>
        <v> </v>
      </c>
      <c r="AV22" s="78">
        <f t="shared" si="6"/>
      </c>
      <c r="AW22" s="62" t="str">
        <f>IF('Tabelle 18'!$C$5=AB22,'Tabelle 18'!$R$5,"")&amp;IF('Tabelle 18'!$C$6=AB22,'Tabelle 18'!$R$6,"")&amp;IF('Tabelle 18'!$C$7=AB22,'Tabelle 18'!$R$7,"")&amp;IF('Tabelle 18'!$C$8=AB22,'Tabelle 18'!$R$8,"")&amp;IF('Tabelle 18'!$C$9=AB22,'Tabelle 18'!$R$9,"")&amp;IF('Tabelle 18'!$C$10=AB22,'Tabelle 18'!$R$10,"")&amp;IF('Tabelle 18'!$C$11=AB22,'Tabelle 18'!$R$11,"")&amp;IF('Tabelle 18'!$C$12=AB22,'Tabelle 18'!$R$12,"")&amp;IF('Tabelle 18'!$C$13=AB22,'Tabelle 18'!$R$13,"")&amp;IF('Tabelle 18'!$C$14=AB22,'Tabelle 18'!$R$14,"")&amp;IF('Tabelle 18'!$C$15=AB22,'Tabelle 18'!$R$15,"")&amp;IF('Tabelle 18'!$C$16=AB22,'Tabelle 18'!$R$16,"")&amp;IF('Tabelle 18'!$C$17=AB22,'Tabelle 18'!$R$17,"")&amp;IF('Tabelle 18'!$C$18=AB22,'Tabelle 18'!$R$18,"")&amp;IF('Tabelle 18'!$C$19=AB22,'Tabelle 18'!$R$19,"")&amp;IF('Tabelle 18'!$C$20=AB22,'Tabelle 18'!$R$20,"")&amp;IF('Tabelle 18'!$C$21=AB22,'Tabelle 18'!$R$21,"")&amp;IF('Tabelle 18'!$C$22=AB22,'Tabelle 18'!$R$22,"")</f>
        <v> </v>
      </c>
      <c r="AX22" s="119">
        <v>18</v>
      </c>
      <c r="AY22" s="3">
        <f>'Tabelle 18'!N22</f>
        <v>0.01</v>
      </c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25:81" ht="12.75">
      <c r="Y23" s="2"/>
      <c r="Z23" s="2"/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4"/>
      <c r="AV23" s="4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25:81" ht="12.75">
      <c r="Y24" s="2"/>
      <c r="Z24" s="2"/>
      <c r="AA24" s="3"/>
      <c r="AB24" s="2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25:81" ht="12.75">
      <c r="Y25" s="2"/>
      <c r="Z25" s="2"/>
      <c r="AA25" s="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2:49" ht="24.75" customHeight="1">
      <c r="B26" s="82" t="str">
        <f>Eingabe!$G$3</f>
        <v>z. B. Monatsblitzturnier</v>
      </c>
      <c r="C26" s="12"/>
      <c r="D26" s="17"/>
      <c r="E26" s="17"/>
      <c r="F26" s="12"/>
      <c r="G26" s="32"/>
      <c r="H26" s="17"/>
      <c r="I26" s="17"/>
      <c r="J26" s="17"/>
      <c r="K26" s="17"/>
      <c r="L26" s="17"/>
      <c r="M26" s="17"/>
      <c r="N26" s="17"/>
      <c r="O26" s="17"/>
      <c r="P26" s="12"/>
      <c r="Q26" s="12"/>
      <c r="R26" s="12"/>
      <c r="S26" s="12"/>
      <c r="T26" s="12"/>
      <c r="U26" s="12"/>
      <c r="W26" s="33" t="s">
        <v>20</v>
      </c>
      <c r="X26" s="34" t="str">
        <f>Eingabe!G2</f>
        <v>??.??.????</v>
      </c>
      <c r="AA26" s="82"/>
      <c r="AB26" s="12"/>
      <c r="AC26" s="17"/>
      <c r="AD26" s="17"/>
      <c r="AE26" s="12"/>
      <c r="AF26" s="32"/>
      <c r="AG26" s="17"/>
      <c r="AH26" s="17"/>
      <c r="AI26" s="17"/>
      <c r="AJ26" s="17"/>
      <c r="AK26" s="17"/>
      <c r="AL26" s="17"/>
      <c r="AM26" s="17"/>
      <c r="AN26" s="17"/>
      <c r="AO26" s="12"/>
      <c r="AP26" s="12"/>
      <c r="AQ26" s="12"/>
      <c r="AR26" s="12"/>
      <c r="AS26" s="12"/>
      <c r="AT26" s="12"/>
      <c r="AV26" s="33"/>
      <c r="AW26" s="34"/>
    </row>
    <row r="27" spans="2:50" s="19" customFormat="1" ht="18.75" thickBot="1">
      <c r="B27" s="2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Z27" s="92"/>
      <c r="AA27" s="93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92"/>
    </row>
    <row r="28" spans="1:81" s="8" customFormat="1" ht="24.75" customHeight="1" thickBot="1">
      <c r="A28" s="6"/>
      <c r="B28" s="21" t="s">
        <v>39</v>
      </c>
      <c r="C28" s="22" t="s">
        <v>40</v>
      </c>
      <c r="D28" s="67">
        <v>1</v>
      </c>
      <c r="E28" s="24">
        <v>2</v>
      </c>
      <c r="F28" s="24">
        <v>3</v>
      </c>
      <c r="G28" s="24">
        <v>4</v>
      </c>
      <c r="H28" s="24">
        <v>5</v>
      </c>
      <c r="I28" s="24">
        <v>6</v>
      </c>
      <c r="J28" s="24">
        <v>7</v>
      </c>
      <c r="K28" s="24">
        <v>8</v>
      </c>
      <c r="L28" s="24">
        <v>9</v>
      </c>
      <c r="M28" s="24">
        <v>10</v>
      </c>
      <c r="N28" s="24">
        <v>11</v>
      </c>
      <c r="O28" s="24">
        <v>12</v>
      </c>
      <c r="P28" s="24">
        <v>13</v>
      </c>
      <c r="Q28" s="24">
        <v>14</v>
      </c>
      <c r="R28" s="24">
        <v>15</v>
      </c>
      <c r="S28" s="24">
        <v>16</v>
      </c>
      <c r="T28" s="24">
        <v>17</v>
      </c>
      <c r="U28" s="28">
        <v>18</v>
      </c>
      <c r="V28" s="21" t="s">
        <v>41</v>
      </c>
      <c r="W28" s="53" t="s">
        <v>42</v>
      </c>
      <c r="X28" s="23" t="s">
        <v>43</v>
      </c>
      <c r="Y28" s="9"/>
      <c r="Z28" s="9"/>
      <c r="AA28" s="29"/>
      <c r="AB28" s="29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29"/>
      <c r="AV28" s="95"/>
      <c r="AW28" s="2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</row>
    <row r="29" spans="2:81" ht="24.75" customHeight="1">
      <c r="B29" s="10">
        <v>1</v>
      </c>
      <c r="C29" s="26" t="str">
        <f>Eingabe!$C$6</f>
        <v>Spieler 1</v>
      </c>
      <c r="D29" s="68"/>
      <c r="E29" s="57" t="str">
        <f>'18 Spieler'!$AG$33</f>
        <v> </v>
      </c>
      <c r="F29" s="57" t="str">
        <f>'18 Spieler'!$O$52</f>
        <v> </v>
      </c>
      <c r="G29" s="57" t="str">
        <f>'18 Spieler'!$Y$32</f>
        <v> </v>
      </c>
      <c r="H29" s="57" t="str">
        <f>'18 Spieler'!$G$53</f>
        <v> </v>
      </c>
      <c r="I29" s="57" t="str">
        <f>'18 Spieler'!$Q$31</f>
        <v> </v>
      </c>
      <c r="J29" s="57" t="str">
        <f>'18 Spieler'!$AM$41</f>
        <v> </v>
      </c>
      <c r="K29" s="57" t="str">
        <f>'18 Spieler'!$I$30</f>
        <v> </v>
      </c>
      <c r="L29" s="57" t="str">
        <f>'18 Spieler'!$AE$42</f>
        <v> </v>
      </c>
      <c r="M29" s="57" t="str">
        <f>'18 Spieler'!$AO$16</f>
        <v> </v>
      </c>
      <c r="N29" s="57" t="str">
        <f>'18 Spieler'!$W$43</f>
        <v> </v>
      </c>
      <c r="O29" s="57" t="str">
        <f>'18 Spieler'!$AG$15</f>
        <v> </v>
      </c>
      <c r="P29" s="57" t="str">
        <f>'18 Spieler'!$O$44</f>
        <v> </v>
      </c>
      <c r="Q29" s="57" t="str">
        <f>'18 Spieler'!$Y$14</f>
        <v> </v>
      </c>
      <c r="R29" s="57" t="str">
        <f>'18 Spieler'!$G$45</f>
        <v> </v>
      </c>
      <c r="S29" s="57" t="str">
        <f>'18 Spieler'!$Q$13</f>
        <v> </v>
      </c>
      <c r="T29" s="57" t="str">
        <f>'18 Spieler'!$AM$33</f>
        <v> </v>
      </c>
      <c r="U29" s="30" t="str">
        <f>'18 Spieler'!$G$12</f>
        <v> </v>
      </c>
      <c r="V29" s="79" t="str">
        <f aca="true" t="shared" si="31" ref="V29:V45">IF(COUNT($D$46,$E$45,$F$44,$G$43,$H$42,$I$41,$J$40,$K$39,$L$38,$M$37,$N$36,$O$35,$P$34,$Q$33,$R$32,$S$31,$T$30,$U$29)&gt;0,SUM(D29:U29)," ")</f>
        <v> </v>
      </c>
      <c r="W29" s="77">
        <f aca="true" t="shared" si="32" ref="W29:W46">IF(COUNT($D$46,$E$45,$F$44,$G$43,$H$42,$I$41,$J$40,$K$39,$L$38,$M$37,$N$36,$O$35,$P$34,$Q$33,$R$32,$S$31,$T$30,$U$29)&gt;0,IF(OR(D29=1,D29=0.5),D29*$V$29,0)+IF(OR(E29=1,E29=0.5),E29*$V$30,0)+IF(OR(F29=1,F29=0.5),F29*$V$31,0)+IF(OR(G29=1,G29=0.5),G29*$V$32,0)+IF(OR(H29=1,H29=0.5),H29*$V$33,0)+IF(OR(I29=1,I29=0.5),I29*$V$34,0)+IF(OR(J29=1,J29=0.5),J29*$V$35,0)+IF(OR(K29=1,K29=0.5),K29*$V$36,0)+IF(OR(L29=1,L29=0.5),L29*$V$37,0)+IF(OR(M29=1,M29=0.5),M29*$V$38,0)+IF(OR(N29=1,N29=0.5),N29*$V$39,0)+IF(OR(O29=1,O29=0.5),O29*$V$40,0)+IF(OR(P29=1,P29=0.5),P29*$V$41,0)+IF(OR(Q29=1,Q29=0.5),Q29*$V$42,0)+IF(OR(R29=1,R29=0.5),R29*$V$43,0)+IF(OR(S29=1,S29=0.5),S29*$V$44,0)+IF(OR(T29=1,T29=0.5),T29*$V$45,0)+IF(OR(U29=1,U29=0.5),U29*$V$46,0),"")</f>
      </c>
      <c r="X29" s="61" t="str">
        <f>IF('Tabelle 18'!$C$5=C29,'Tabelle 18'!$R$5,"")&amp;IF('Tabelle 18'!$C$6=C29,'Tabelle 18'!$R$6,"")&amp;IF('Tabelle 18'!$C$7=C29,'Tabelle 18'!$R$7,"")&amp;IF('Tabelle 18'!$C$8=C29,'Tabelle 18'!$R$8,"")&amp;IF('Tabelle 18'!$C$9=C29,'Tabelle 18'!$R$9,"")&amp;IF('Tabelle 18'!$C$10=C29,'Tabelle 18'!$R$10,"")&amp;IF('Tabelle 18'!$C$11=C29,'Tabelle 18'!$R$11,"")&amp;IF('Tabelle 18'!$C$12=C29,'Tabelle 18'!$R$12,"")&amp;IF('Tabelle 18'!$C$13=C29,'Tabelle 18'!$R$13,"")&amp;IF('Tabelle 18'!$C$14=C29,'Tabelle 18'!$R$14,"")&amp;IF('Tabelle 18'!$C$15=C29,'Tabelle 18'!$R$15,"")&amp;IF('Tabelle 18'!$C$16=C29,'Tabelle 18'!$R$16,"")&amp;IF('Tabelle 18'!$C$17=C29,'Tabelle 18'!$R$17,"")&amp;IF('Tabelle 18'!$C$18=C29,'Tabelle 18'!$R$18,"")&amp;IF('Tabelle 18'!$C$19=C29,'Tabelle 18'!$R$19,"")&amp;IF('Tabelle 18'!$C$20=C29,'Tabelle 18'!$R$20,"")&amp;IF('Tabelle 18'!$C$21=C29,'Tabelle 18'!$R$21,"")&amp;IF('Tabelle 18'!$C$22=C29,'Tabelle 18'!$R$22,"")</f>
        <v> </v>
      </c>
      <c r="Y29" s="2"/>
      <c r="Z29" s="2"/>
      <c r="AA29" s="96">
        <f>VLOOKUP($AX5,$Z$5:$AW$22,2,FALSE)</f>
        <v>1</v>
      </c>
      <c r="AB29" s="97" t="str">
        <f>VLOOKUP($AX5,$Z$5:$AW$22,3,FALSE)</f>
        <v>Spieler 1</v>
      </c>
      <c r="AC29" s="98" t="str">
        <f>VLOOKUP($AX5,$Z$5:$AW$22,4,FALSE)</f>
        <v> </v>
      </c>
      <c r="AD29" s="98" t="str">
        <f>VLOOKUP($AX5,$Z$5:$AW$22,5,FALSE)</f>
        <v> </v>
      </c>
      <c r="AE29" s="98" t="str">
        <f>VLOOKUP($AX5,$Z$5:$AW$22,6,FALSE)</f>
        <v> </v>
      </c>
      <c r="AF29" s="98" t="str">
        <f>VLOOKUP($AX5,$Z$5:$AW$22,7,FALSE)</f>
        <v> </v>
      </c>
      <c r="AG29" s="98" t="str">
        <f>VLOOKUP($AX5,$Z$5:$AW$22,8,FALSE)</f>
        <v> </v>
      </c>
      <c r="AH29" s="98" t="str">
        <f>VLOOKUP($AX5,$Z$5:$AW$22,9,FALSE)</f>
        <v> </v>
      </c>
      <c r="AI29" s="98" t="str">
        <f>VLOOKUP($AX5,$Z$5:$AW$22,10,FALSE)</f>
        <v> </v>
      </c>
      <c r="AJ29" s="98" t="str">
        <f>VLOOKUP($AX5,$Z$5:$AW$22,11,FALSE)</f>
        <v> </v>
      </c>
      <c r="AK29" s="98" t="str">
        <f>VLOOKUP($AX5,$Z$5:$AW$22,12,FALSE)</f>
        <v> </v>
      </c>
      <c r="AL29" s="98" t="str">
        <f>VLOOKUP($AX5,$Z$5:$AW$22,13,FALSE)</f>
        <v> </v>
      </c>
      <c r="AM29" s="98" t="str">
        <f>VLOOKUP($AX5,$Z$5:$AW$22,14,FALSE)</f>
        <v> </v>
      </c>
      <c r="AN29" s="98" t="str">
        <f>VLOOKUP($AX5,$Z$5:$AW$22,15,FALSE)</f>
        <v> </v>
      </c>
      <c r="AO29" s="98" t="str">
        <f>VLOOKUP($AX5,$Z$5:$AW$22,16,FALSE)</f>
        <v> </v>
      </c>
      <c r="AP29" s="98" t="str">
        <f>VLOOKUP($AX5,$Z$5:$AW$22,17,FALSE)</f>
        <v> </v>
      </c>
      <c r="AQ29" s="98" t="str">
        <f>VLOOKUP($AX5,$Z$5:$AW$22,18,FALSE)</f>
        <v> </v>
      </c>
      <c r="AR29" s="98" t="str">
        <f>VLOOKUP($AX5,$Z$5:$AW$22,19,FALSE)</f>
        <v> </v>
      </c>
      <c r="AS29" s="98" t="str">
        <f>VLOOKUP($AX5,$Z$5:$AW$22,20,FALSE)</f>
        <v> </v>
      </c>
      <c r="AT29" s="99" t="str">
        <f>VLOOKUP($AX5,$Z$5:$AW$22,21,FALSE)</f>
        <v> </v>
      </c>
      <c r="AU29" s="100" t="str">
        <f>VLOOKUP($AX5,$Z$5:$AW$22,22,FALSE)</f>
        <v> </v>
      </c>
      <c r="AV29" s="101">
        <f>VLOOKUP($AX5,$Z$5:$AW$22,23,FALSE)</f>
      </c>
      <c r="AW29" s="102" t="str">
        <f>VLOOKUP($AX5,$Z$5:$AW$22,24,FALSE)</f>
        <v> </v>
      </c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2:81" ht="24.75" customHeight="1">
      <c r="B30" s="10">
        <v>2</v>
      </c>
      <c r="C30" s="26" t="str">
        <f>Eingabe!$C$7</f>
        <v>Spieler 2</v>
      </c>
      <c r="D30" s="57" t="str">
        <f>'18 Spieler'!$AE$33</f>
        <v> </v>
      </c>
      <c r="E30" s="68"/>
      <c r="F30" s="57" t="str">
        <f>'18 Spieler'!$Y$33</f>
        <v> </v>
      </c>
      <c r="G30" s="57" t="str">
        <f>'18 Spieler'!$G$52</f>
        <v> </v>
      </c>
      <c r="H30" s="57" t="str">
        <f>'18 Spieler'!$Q$32</f>
        <v> </v>
      </c>
      <c r="I30" s="57" t="str">
        <f>'18 Spieler'!$AM$40</f>
        <v> </v>
      </c>
      <c r="J30" s="57" t="str">
        <f>'18 Spieler'!$I$31</f>
        <v> </v>
      </c>
      <c r="K30" s="57" t="str">
        <f>'18 Spieler'!$AE$41</f>
        <v> </v>
      </c>
      <c r="L30" s="57" t="str">
        <f>'18 Spieler'!$AO$17</f>
        <v> </v>
      </c>
      <c r="M30" s="57" t="str">
        <f>'18 Spieler'!$W$42</f>
        <v> </v>
      </c>
      <c r="N30" s="57" t="str">
        <f>'18 Spieler'!$AG$16</f>
        <v> </v>
      </c>
      <c r="O30" s="57" t="str">
        <f>'18 Spieler'!$O$43</f>
        <v> </v>
      </c>
      <c r="P30" s="57" t="str">
        <f>'18 Spieler'!$Y$15</f>
        <v> </v>
      </c>
      <c r="Q30" s="57" t="str">
        <f>'18 Spieler'!$G$44</f>
        <v> </v>
      </c>
      <c r="R30" s="57" t="str">
        <f>'18 Spieler'!$Q$14</f>
        <v> </v>
      </c>
      <c r="S30" s="57" t="str">
        <f>'18 Spieler'!$AM$32</f>
        <v> </v>
      </c>
      <c r="T30" s="57" t="str">
        <f>'18 Spieler'!$I$13</f>
        <v> </v>
      </c>
      <c r="U30" s="30" t="str">
        <f>'18 Spieler'!$O$51</f>
        <v> </v>
      </c>
      <c r="V30" s="79" t="str">
        <f t="shared" si="31"/>
        <v> </v>
      </c>
      <c r="W30" s="77">
        <f t="shared" si="32"/>
      </c>
      <c r="X30" s="61" t="str">
        <f>IF('Tabelle 18'!$C$5=C30,'Tabelle 18'!$R$5,"")&amp;IF('Tabelle 18'!$C$6=C30,'Tabelle 18'!$R$6,"")&amp;IF('Tabelle 18'!$C$7=C30,'Tabelle 18'!$R$7,"")&amp;IF('Tabelle 18'!$C$8=C30,'Tabelle 18'!$R$8,"")&amp;IF('Tabelle 18'!$C$9=C30,'Tabelle 18'!$R$9,"")&amp;IF('Tabelle 18'!$C$10=C30,'Tabelle 18'!$R$10,"")&amp;IF('Tabelle 18'!$C$11=C30,'Tabelle 18'!$R$11,"")&amp;IF('Tabelle 18'!$C$12=C30,'Tabelle 18'!$R$12,"")&amp;IF('Tabelle 18'!$C$13=C30,'Tabelle 18'!$R$13,"")&amp;IF('Tabelle 18'!$C$14=C30,'Tabelle 18'!$R$14,"")&amp;IF('Tabelle 18'!$C$15=C30,'Tabelle 18'!$R$15,"")&amp;IF('Tabelle 18'!$C$16=C30,'Tabelle 18'!$R$16,"")&amp;IF('Tabelle 18'!$C$17=C30,'Tabelle 18'!$R$17,"")&amp;IF('Tabelle 18'!$C$18=C30,'Tabelle 18'!$R$18,"")&amp;IF('Tabelle 18'!$C$19=C30,'Tabelle 18'!$R$19,"")&amp;IF('Tabelle 18'!$C$20=C30,'Tabelle 18'!$R$20,"")&amp;IF('Tabelle 18'!$C$21=C30,'Tabelle 18'!$R$21,"")&amp;IF('Tabelle 18'!$C$22=C30,'Tabelle 18'!$R$22,"")</f>
        <v> </v>
      </c>
      <c r="Y30" s="2"/>
      <c r="Z30" s="2"/>
      <c r="AA30" s="103">
        <f aca="true" t="shared" si="33" ref="AA30:AA46">VLOOKUP($AX6,$Z$5:$AW$22,2,FALSE)</f>
        <v>2</v>
      </c>
      <c r="AB30" s="104" t="str">
        <f aca="true" t="shared" si="34" ref="AB30:AB46">VLOOKUP($AX6,$Z$5:$AW$22,3,FALSE)</f>
        <v>Spieler 2</v>
      </c>
      <c r="AC30" s="105" t="str">
        <f aca="true" t="shared" si="35" ref="AC30:AC46">VLOOKUP($AX6,$Z$5:$AW$22,4,FALSE)</f>
        <v> </v>
      </c>
      <c r="AD30" s="105" t="str">
        <f aca="true" t="shared" si="36" ref="AD30:AD46">VLOOKUP($AX6,$Z$5:$AW$22,5,FALSE)</f>
        <v> </v>
      </c>
      <c r="AE30" s="105" t="str">
        <f aca="true" t="shared" si="37" ref="AE30:AE46">VLOOKUP($AX6,$Z$5:$AW$22,6,FALSE)</f>
        <v> </v>
      </c>
      <c r="AF30" s="105" t="str">
        <f aca="true" t="shared" si="38" ref="AF30:AF46">VLOOKUP($AX6,$Z$5:$AW$22,7,FALSE)</f>
        <v> </v>
      </c>
      <c r="AG30" s="105" t="str">
        <f aca="true" t="shared" si="39" ref="AG30:AG46">VLOOKUP($AX6,$Z$5:$AW$22,8,FALSE)</f>
        <v> </v>
      </c>
      <c r="AH30" s="105" t="str">
        <f aca="true" t="shared" si="40" ref="AH30:AH46">VLOOKUP($AX6,$Z$5:$AW$22,9,FALSE)</f>
        <v> </v>
      </c>
      <c r="AI30" s="105" t="str">
        <f aca="true" t="shared" si="41" ref="AI30:AI46">VLOOKUP($AX6,$Z$5:$AW$22,10,FALSE)</f>
        <v> </v>
      </c>
      <c r="AJ30" s="105" t="str">
        <f aca="true" t="shared" si="42" ref="AJ30:AJ46">VLOOKUP($AX6,$Z$5:$AW$22,11,FALSE)</f>
        <v> </v>
      </c>
      <c r="AK30" s="105" t="str">
        <f aca="true" t="shared" si="43" ref="AK30:AK46">VLOOKUP($AX6,$Z$5:$AW$22,12,FALSE)</f>
        <v> </v>
      </c>
      <c r="AL30" s="105" t="str">
        <f aca="true" t="shared" si="44" ref="AL30:AL46">VLOOKUP($AX6,$Z$5:$AW$22,13,FALSE)</f>
        <v> </v>
      </c>
      <c r="AM30" s="105" t="str">
        <f aca="true" t="shared" si="45" ref="AM30:AM46">VLOOKUP($AX6,$Z$5:$AW$22,14,FALSE)</f>
        <v> </v>
      </c>
      <c r="AN30" s="105" t="str">
        <f aca="true" t="shared" si="46" ref="AN30:AN46">VLOOKUP($AX6,$Z$5:$AW$22,15,FALSE)</f>
        <v> </v>
      </c>
      <c r="AO30" s="105" t="str">
        <f aca="true" t="shared" si="47" ref="AO30:AO46">VLOOKUP($AX6,$Z$5:$AW$22,16,FALSE)</f>
        <v> </v>
      </c>
      <c r="AP30" s="105" t="str">
        <f aca="true" t="shared" si="48" ref="AP30:AP46">VLOOKUP($AX6,$Z$5:$AW$22,17,FALSE)</f>
        <v> </v>
      </c>
      <c r="AQ30" s="105" t="str">
        <f aca="true" t="shared" si="49" ref="AQ30:AQ46">VLOOKUP($AX6,$Z$5:$AW$22,18,FALSE)</f>
        <v> </v>
      </c>
      <c r="AR30" s="105" t="str">
        <f aca="true" t="shared" si="50" ref="AR30:AR46">VLOOKUP($AX6,$Z$5:$AW$22,19,FALSE)</f>
        <v> </v>
      </c>
      <c r="AS30" s="105" t="str">
        <f aca="true" t="shared" si="51" ref="AS30:AS46">VLOOKUP($AX6,$Z$5:$AW$22,20,FALSE)</f>
        <v> </v>
      </c>
      <c r="AT30" s="106" t="str">
        <f aca="true" t="shared" si="52" ref="AT30:AT46">VLOOKUP($AX6,$Z$5:$AW$22,21,FALSE)</f>
        <v> </v>
      </c>
      <c r="AU30" s="107" t="str">
        <f aca="true" t="shared" si="53" ref="AU30:AU46">VLOOKUP($AX6,$Z$5:$AW$22,22,FALSE)</f>
        <v> </v>
      </c>
      <c r="AV30" s="108">
        <f aca="true" t="shared" si="54" ref="AV30:AV46">VLOOKUP($AX6,$Z$5:$AW$22,23,FALSE)</f>
      </c>
      <c r="AW30" s="109" t="str">
        <f aca="true" t="shared" si="55" ref="AW30:AW46">VLOOKUP($AX6,$Z$5:$AW$22,24,FALSE)</f>
        <v> </v>
      </c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2:81" ht="24.75" customHeight="1">
      <c r="B31" s="10">
        <v>3</v>
      </c>
      <c r="C31" s="26" t="str">
        <f>Eingabe!$C$8</f>
        <v>Spieler 3</v>
      </c>
      <c r="D31" s="57" t="str">
        <f>'18 Spieler'!$Q$52</f>
        <v> </v>
      </c>
      <c r="E31" s="57" t="str">
        <f>'18 Spieler'!$W$33</f>
        <v> </v>
      </c>
      <c r="F31" s="68"/>
      <c r="G31" s="57" t="str">
        <f>'18 Spieler'!$Q$33</f>
        <v> </v>
      </c>
      <c r="H31" s="57" t="str">
        <f>'18 Spieler'!$AM$39</f>
        <v> </v>
      </c>
      <c r="I31" s="57" t="str">
        <f>'18 Spieler'!$I$32</f>
        <v> </v>
      </c>
      <c r="J31" s="57" t="str">
        <f>'18 Spieler'!$AE$40</f>
        <v> </v>
      </c>
      <c r="K31" s="57" t="str">
        <f>'18 Spieler'!$AO$18</f>
        <v> </v>
      </c>
      <c r="L31" s="57" t="str">
        <f>'18 Spieler'!$W$41</f>
        <v> </v>
      </c>
      <c r="M31" s="57" t="str">
        <f>'18 Spieler'!$AG$17</f>
        <v> </v>
      </c>
      <c r="N31" s="57" t="str">
        <f>'18 Spieler'!$O$42</f>
        <v> </v>
      </c>
      <c r="O31" s="57" t="str">
        <f>'18 Spieler'!$Y$16</f>
        <v> </v>
      </c>
      <c r="P31" s="57" t="str">
        <f>'18 Spieler'!$G$43</f>
        <v> </v>
      </c>
      <c r="Q31" s="57" t="str">
        <f>'18 Spieler'!$Q$15</f>
        <v> </v>
      </c>
      <c r="R31" s="57" t="str">
        <f>'18 Spieler'!$AM$31</f>
        <v> </v>
      </c>
      <c r="S31" s="57" t="str">
        <f>'18 Spieler'!$I$14</f>
        <v> </v>
      </c>
      <c r="T31" s="57" t="str">
        <f>'18 Spieler'!$AE$32</f>
        <v> </v>
      </c>
      <c r="U31" s="30" t="str">
        <f>'18 Spieler'!$G$51</f>
        <v> </v>
      </c>
      <c r="V31" s="79" t="str">
        <f t="shared" si="31"/>
        <v> </v>
      </c>
      <c r="W31" s="77">
        <f t="shared" si="32"/>
      </c>
      <c r="X31" s="61" t="str">
        <f>IF('Tabelle 18'!$C$5=C31,'Tabelle 18'!$R$5,"")&amp;IF('Tabelle 18'!$C$6=C31,'Tabelle 18'!$R$6,"")&amp;IF('Tabelle 18'!$C$7=C31,'Tabelle 18'!$R$7,"")&amp;IF('Tabelle 18'!$C$8=C31,'Tabelle 18'!$R$8,"")&amp;IF('Tabelle 18'!$C$9=C31,'Tabelle 18'!$R$9,"")&amp;IF('Tabelle 18'!$C$10=C31,'Tabelle 18'!$R$10,"")&amp;IF('Tabelle 18'!$C$11=C31,'Tabelle 18'!$R$11,"")&amp;IF('Tabelle 18'!$C$12=C31,'Tabelle 18'!$R$12,"")&amp;IF('Tabelle 18'!$C$13=C31,'Tabelle 18'!$R$13,"")&amp;IF('Tabelle 18'!$C$14=C31,'Tabelle 18'!$R$14,"")&amp;IF('Tabelle 18'!$C$15=C31,'Tabelle 18'!$R$15,"")&amp;IF('Tabelle 18'!$C$16=C31,'Tabelle 18'!$R$16,"")&amp;IF('Tabelle 18'!$C$17=C31,'Tabelle 18'!$R$17,"")&amp;IF('Tabelle 18'!$C$18=C31,'Tabelle 18'!$R$18,"")&amp;IF('Tabelle 18'!$C$19=C31,'Tabelle 18'!$R$19,"")&amp;IF('Tabelle 18'!$C$20=C31,'Tabelle 18'!$R$20,"")&amp;IF('Tabelle 18'!$C$21=C31,'Tabelle 18'!$R$21,"")&amp;IF('Tabelle 18'!$C$22=C31,'Tabelle 18'!$R$22,"")</f>
        <v> </v>
      </c>
      <c r="Y31" s="2"/>
      <c r="Z31" s="2"/>
      <c r="AA31" s="103">
        <f t="shared" si="33"/>
        <v>3</v>
      </c>
      <c r="AB31" s="104" t="str">
        <f t="shared" si="34"/>
        <v>Spieler 3</v>
      </c>
      <c r="AC31" s="105" t="str">
        <f t="shared" si="35"/>
        <v> </v>
      </c>
      <c r="AD31" s="105" t="str">
        <f t="shared" si="36"/>
        <v> </v>
      </c>
      <c r="AE31" s="105" t="str">
        <f t="shared" si="37"/>
        <v> </v>
      </c>
      <c r="AF31" s="105" t="str">
        <f t="shared" si="38"/>
        <v> </v>
      </c>
      <c r="AG31" s="105" t="str">
        <f t="shared" si="39"/>
        <v> </v>
      </c>
      <c r="AH31" s="105" t="str">
        <f t="shared" si="40"/>
        <v> </v>
      </c>
      <c r="AI31" s="105" t="str">
        <f t="shared" si="41"/>
        <v> </v>
      </c>
      <c r="AJ31" s="105" t="str">
        <f t="shared" si="42"/>
        <v> </v>
      </c>
      <c r="AK31" s="105" t="str">
        <f t="shared" si="43"/>
        <v> </v>
      </c>
      <c r="AL31" s="105" t="str">
        <f t="shared" si="44"/>
        <v> </v>
      </c>
      <c r="AM31" s="105" t="str">
        <f t="shared" si="45"/>
        <v> </v>
      </c>
      <c r="AN31" s="105" t="str">
        <f t="shared" si="46"/>
        <v> </v>
      </c>
      <c r="AO31" s="105" t="str">
        <f t="shared" si="47"/>
        <v> </v>
      </c>
      <c r="AP31" s="105" t="str">
        <f t="shared" si="48"/>
        <v> </v>
      </c>
      <c r="AQ31" s="105" t="str">
        <f t="shared" si="49"/>
        <v> </v>
      </c>
      <c r="AR31" s="105" t="str">
        <f t="shared" si="50"/>
        <v> </v>
      </c>
      <c r="AS31" s="105" t="str">
        <f t="shared" si="51"/>
        <v> </v>
      </c>
      <c r="AT31" s="106" t="str">
        <f t="shared" si="52"/>
        <v> </v>
      </c>
      <c r="AU31" s="107" t="str">
        <f t="shared" si="53"/>
        <v> </v>
      </c>
      <c r="AV31" s="108">
        <f t="shared" si="54"/>
      </c>
      <c r="AW31" s="109" t="str">
        <f t="shared" si="55"/>
        <v> </v>
      </c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2:81" ht="24.75" customHeight="1">
      <c r="B32" s="10">
        <v>4</v>
      </c>
      <c r="C32" s="26" t="str">
        <f>Eingabe!$C$9</f>
        <v>Spieler 4</v>
      </c>
      <c r="D32" s="57" t="str">
        <f>'18 Spieler'!$W$32</f>
        <v> </v>
      </c>
      <c r="E32" s="57" t="str">
        <f>'18 Spieler'!$I$52</f>
        <v> </v>
      </c>
      <c r="F32" s="57" t="str">
        <f>'18 Spieler'!$O$33</f>
        <v> </v>
      </c>
      <c r="G32" s="68"/>
      <c r="H32" s="57" t="str">
        <f>'18 Spieler'!$I$33</f>
        <v> </v>
      </c>
      <c r="I32" s="57" t="str">
        <f>'18 Spieler'!$AE$39</f>
        <v> </v>
      </c>
      <c r="J32" s="57" t="str">
        <f>'18 Spieler'!$AO$19</f>
        <v> </v>
      </c>
      <c r="K32" s="57" t="str">
        <f>'18 Spieler'!$W$40</f>
        <v> </v>
      </c>
      <c r="L32" s="57" t="str">
        <f>'18 Spieler'!$AG$18</f>
        <v> </v>
      </c>
      <c r="M32" s="57" t="str">
        <f>'18 Spieler'!$O$41</f>
        <v> </v>
      </c>
      <c r="N32" s="57" t="str">
        <f>'18 Spieler'!$Y$17</f>
        <v> </v>
      </c>
      <c r="O32" s="57" t="str">
        <f>'18 Spieler'!$G$42</f>
        <v> </v>
      </c>
      <c r="P32" s="57" t="str">
        <f>'18 Spieler'!$Q$16</f>
        <v> </v>
      </c>
      <c r="Q32" s="57" t="str">
        <f>'18 Spieler'!$AM$30</f>
        <v> </v>
      </c>
      <c r="R32" s="57" t="str">
        <f>'18 Spieler'!$I$15</f>
        <v> </v>
      </c>
      <c r="S32" s="57" t="str">
        <f>'18 Spieler'!$AE$31</f>
        <v> </v>
      </c>
      <c r="T32" s="57" t="str">
        <f>'18 Spieler'!$Q$53</f>
        <v> </v>
      </c>
      <c r="U32" s="30" t="str">
        <f>'18 Spieler'!$AM$38</f>
        <v> </v>
      </c>
      <c r="V32" s="79" t="str">
        <f t="shared" si="31"/>
        <v> </v>
      </c>
      <c r="W32" s="77">
        <f t="shared" si="32"/>
      </c>
      <c r="X32" s="61" t="str">
        <f>IF('Tabelle 18'!$C$5=C32,'Tabelle 18'!$R$5,"")&amp;IF('Tabelle 18'!$C$6=C32,'Tabelle 18'!$R$6,"")&amp;IF('Tabelle 18'!$C$7=C32,'Tabelle 18'!$R$7,"")&amp;IF('Tabelle 18'!$C$8=C32,'Tabelle 18'!$R$8,"")&amp;IF('Tabelle 18'!$C$9=C32,'Tabelle 18'!$R$9,"")&amp;IF('Tabelle 18'!$C$10=C32,'Tabelle 18'!$R$10,"")&amp;IF('Tabelle 18'!$C$11=C32,'Tabelle 18'!$R$11,"")&amp;IF('Tabelle 18'!$C$12=C32,'Tabelle 18'!$R$12,"")&amp;IF('Tabelle 18'!$C$13=C32,'Tabelle 18'!$R$13,"")&amp;IF('Tabelle 18'!$C$14=C32,'Tabelle 18'!$R$14,"")&amp;IF('Tabelle 18'!$C$15=C32,'Tabelle 18'!$R$15,"")&amp;IF('Tabelle 18'!$C$16=C32,'Tabelle 18'!$R$16,"")&amp;IF('Tabelle 18'!$C$17=C32,'Tabelle 18'!$R$17,"")&amp;IF('Tabelle 18'!$C$18=C32,'Tabelle 18'!$R$18,"")&amp;IF('Tabelle 18'!$C$19=C32,'Tabelle 18'!$R$19,"")&amp;IF('Tabelle 18'!$C$20=C32,'Tabelle 18'!$R$20,"")&amp;IF('Tabelle 18'!$C$21=C32,'Tabelle 18'!$R$21,"")&amp;IF('Tabelle 18'!$C$22=C32,'Tabelle 18'!$R$22,"")</f>
        <v> </v>
      </c>
      <c r="Y32" s="2"/>
      <c r="Z32" s="2"/>
      <c r="AA32" s="103">
        <f t="shared" si="33"/>
        <v>4</v>
      </c>
      <c r="AB32" s="104" t="str">
        <f t="shared" si="34"/>
        <v>Spieler 4</v>
      </c>
      <c r="AC32" s="105" t="str">
        <f t="shared" si="35"/>
        <v> </v>
      </c>
      <c r="AD32" s="105" t="str">
        <f t="shared" si="36"/>
        <v> </v>
      </c>
      <c r="AE32" s="105" t="str">
        <f t="shared" si="37"/>
        <v> </v>
      </c>
      <c r="AF32" s="105" t="str">
        <f t="shared" si="38"/>
        <v> </v>
      </c>
      <c r="AG32" s="105" t="str">
        <f t="shared" si="39"/>
        <v> </v>
      </c>
      <c r="AH32" s="105" t="str">
        <f t="shared" si="40"/>
        <v> </v>
      </c>
      <c r="AI32" s="105" t="str">
        <f t="shared" si="41"/>
        <v> </v>
      </c>
      <c r="AJ32" s="105" t="str">
        <f t="shared" si="42"/>
        <v> </v>
      </c>
      <c r="AK32" s="105" t="str">
        <f t="shared" si="43"/>
        <v> </v>
      </c>
      <c r="AL32" s="105" t="str">
        <f t="shared" si="44"/>
        <v> </v>
      </c>
      <c r="AM32" s="105" t="str">
        <f t="shared" si="45"/>
        <v> </v>
      </c>
      <c r="AN32" s="105" t="str">
        <f t="shared" si="46"/>
        <v> </v>
      </c>
      <c r="AO32" s="105" t="str">
        <f t="shared" si="47"/>
        <v> </v>
      </c>
      <c r="AP32" s="105" t="str">
        <f t="shared" si="48"/>
        <v> </v>
      </c>
      <c r="AQ32" s="105" t="str">
        <f t="shared" si="49"/>
        <v> </v>
      </c>
      <c r="AR32" s="105" t="str">
        <f t="shared" si="50"/>
        <v> </v>
      </c>
      <c r="AS32" s="105" t="str">
        <f t="shared" si="51"/>
        <v> </v>
      </c>
      <c r="AT32" s="106" t="str">
        <f t="shared" si="52"/>
        <v> </v>
      </c>
      <c r="AU32" s="107" t="str">
        <f t="shared" si="53"/>
        <v> </v>
      </c>
      <c r="AV32" s="108">
        <f t="shared" si="54"/>
      </c>
      <c r="AW32" s="109" t="str">
        <f t="shared" si="55"/>
        <v> </v>
      </c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2:81" ht="24.75" customHeight="1">
      <c r="B33" s="10">
        <v>5</v>
      </c>
      <c r="C33" s="26" t="str">
        <f>Eingabe!$C$10</f>
        <v>Spieler 5</v>
      </c>
      <c r="D33" s="57" t="str">
        <f>'18 Spieler'!$I$53</f>
        <v> </v>
      </c>
      <c r="E33" s="57" t="str">
        <f>'18 Spieler'!$O$32</f>
        <v> </v>
      </c>
      <c r="F33" s="57" t="str">
        <f>'18 Spieler'!$AO$39</f>
        <v> </v>
      </c>
      <c r="G33" s="57" t="str">
        <f>'18 Spieler'!$G$33</f>
        <v> </v>
      </c>
      <c r="H33" s="68"/>
      <c r="I33" s="57" t="str">
        <f>'18 Spieler'!$AO$20</f>
        <v> </v>
      </c>
      <c r="J33" s="57" t="str">
        <f>'18 Spieler'!$W$39</f>
        <v> </v>
      </c>
      <c r="K33" s="57" t="str">
        <f>'18 Spieler'!$AG$19</f>
        <v> </v>
      </c>
      <c r="L33" s="57" t="str">
        <f>'18 Spieler'!$O$40</f>
        <v> </v>
      </c>
      <c r="M33" s="57" t="str">
        <f>'18 Spieler'!$Y$18</f>
        <v> </v>
      </c>
      <c r="N33" s="57" t="str">
        <f>'18 Spieler'!$G$41</f>
        <v> </v>
      </c>
      <c r="O33" s="57" t="str">
        <f>'18 Spieler'!$Q$17</f>
        <v> </v>
      </c>
      <c r="P33" s="57" t="str">
        <f>'18 Spieler'!$AM$29</f>
        <v> </v>
      </c>
      <c r="Q33" s="57" t="str">
        <f>'18 Spieler'!$I$16</f>
        <v> </v>
      </c>
      <c r="R33" s="57" t="str">
        <f>'18 Spieler'!$AE$30</f>
        <v> </v>
      </c>
      <c r="S33" s="57" t="str">
        <f>'18 Spieler'!$Q$54</f>
        <v> </v>
      </c>
      <c r="T33" s="57" t="str">
        <f>'18 Spieler'!$W$31</f>
        <v> </v>
      </c>
      <c r="U33" s="30" t="str">
        <f>'18 Spieler'!$AE$38</f>
        <v> </v>
      </c>
      <c r="V33" s="79" t="str">
        <f t="shared" si="31"/>
        <v> </v>
      </c>
      <c r="W33" s="77">
        <f t="shared" si="32"/>
      </c>
      <c r="X33" s="61" t="str">
        <f>IF('Tabelle 18'!$C$5=C33,'Tabelle 18'!$R$5,"")&amp;IF('Tabelle 18'!$C$6=C33,'Tabelle 18'!$R$6,"")&amp;IF('Tabelle 18'!$C$7=C33,'Tabelle 18'!$R$7,"")&amp;IF('Tabelle 18'!$C$8=C33,'Tabelle 18'!$R$8,"")&amp;IF('Tabelle 18'!$C$9=C33,'Tabelle 18'!$R$9,"")&amp;IF('Tabelle 18'!$C$10=C33,'Tabelle 18'!$R$10,"")&amp;IF('Tabelle 18'!$C$11=C33,'Tabelle 18'!$R$11,"")&amp;IF('Tabelle 18'!$C$12=C33,'Tabelle 18'!$R$12,"")&amp;IF('Tabelle 18'!$C$13=C33,'Tabelle 18'!$R$13,"")&amp;IF('Tabelle 18'!$C$14=C33,'Tabelle 18'!$R$14,"")&amp;IF('Tabelle 18'!$C$15=C33,'Tabelle 18'!$R$15,"")&amp;IF('Tabelle 18'!$C$16=C33,'Tabelle 18'!$R$16,"")&amp;IF('Tabelle 18'!$C$17=C33,'Tabelle 18'!$R$17,"")&amp;IF('Tabelle 18'!$C$18=C33,'Tabelle 18'!$R$18,"")&amp;IF('Tabelle 18'!$C$19=C33,'Tabelle 18'!$R$19,"")&amp;IF('Tabelle 18'!$C$20=C33,'Tabelle 18'!$R$20,"")&amp;IF('Tabelle 18'!$C$21=C33,'Tabelle 18'!$R$21,"")&amp;IF('Tabelle 18'!$C$22=C33,'Tabelle 18'!$R$22,"")</f>
        <v> </v>
      </c>
      <c r="Y33" s="2"/>
      <c r="Z33" s="2"/>
      <c r="AA33" s="103">
        <f t="shared" si="33"/>
        <v>5</v>
      </c>
      <c r="AB33" s="104" t="str">
        <f t="shared" si="34"/>
        <v>Spieler 5</v>
      </c>
      <c r="AC33" s="105" t="str">
        <f t="shared" si="35"/>
        <v> </v>
      </c>
      <c r="AD33" s="105" t="str">
        <f t="shared" si="36"/>
        <v> </v>
      </c>
      <c r="AE33" s="105" t="str">
        <f t="shared" si="37"/>
        <v> </v>
      </c>
      <c r="AF33" s="105" t="str">
        <f t="shared" si="38"/>
        <v> </v>
      </c>
      <c r="AG33" s="105" t="str">
        <f t="shared" si="39"/>
        <v> </v>
      </c>
      <c r="AH33" s="105" t="str">
        <f t="shared" si="40"/>
        <v> </v>
      </c>
      <c r="AI33" s="105" t="str">
        <f t="shared" si="41"/>
        <v> </v>
      </c>
      <c r="AJ33" s="105" t="str">
        <f t="shared" si="42"/>
        <v> </v>
      </c>
      <c r="AK33" s="105" t="str">
        <f t="shared" si="43"/>
        <v> </v>
      </c>
      <c r="AL33" s="105" t="str">
        <f t="shared" si="44"/>
        <v> </v>
      </c>
      <c r="AM33" s="105" t="str">
        <f t="shared" si="45"/>
        <v> </v>
      </c>
      <c r="AN33" s="105" t="str">
        <f t="shared" si="46"/>
        <v> </v>
      </c>
      <c r="AO33" s="105" t="str">
        <f t="shared" si="47"/>
        <v> </v>
      </c>
      <c r="AP33" s="105" t="str">
        <f t="shared" si="48"/>
        <v> </v>
      </c>
      <c r="AQ33" s="105" t="str">
        <f t="shared" si="49"/>
        <v> </v>
      </c>
      <c r="AR33" s="105" t="str">
        <f t="shared" si="50"/>
        <v> </v>
      </c>
      <c r="AS33" s="105" t="str">
        <f t="shared" si="51"/>
        <v> </v>
      </c>
      <c r="AT33" s="106" t="str">
        <f t="shared" si="52"/>
        <v> </v>
      </c>
      <c r="AU33" s="107" t="str">
        <f t="shared" si="53"/>
        <v> </v>
      </c>
      <c r="AV33" s="108">
        <f t="shared" si="54"/>
      </c>
      <c r="AW33" s="109" t="str">
        <f t="shared" si="55"/>
        <v> </v>
      </c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2:81" ht="24.75" customHeight="1">
      <c r="B34" s="10">
        <v>6</v>
      </c>
      <c r="C34" s="26" t="str">
        <f>Eingabe!$C$11</f>
        <v>Spieler 6</v>
      </c>
      <c r="D34" s="57" t="str">
        <f>'18 Spieler'!$O$31</f>
        <v> </v>
      </c>
      <c r="E34" s="57" t="str">
        <f>'18 Spieler'!$AO$40</f>
        <v> </v>
      </c>
      <c r="F34" s="57" t="str">
        <f>'18 Spieler'!$G$32</f>
        <v> </v>
      </c>
      <c r="G34" s="57" t="str">
        <f>'18 Spieler'!$AG$39</f>
        <v> </v>
      </c>
      <c r="H34" s="57" t="str">
        <f>'18 Spieler'!$AM$20</f>
        <v> </v>
      </c>
      <c r="I34" s="68"/>
      <c r="J34" s="57" t="str">
        <f>'18 Spieler'!$AG$20</f>
        <v> </v>
      </c>
      <c r="K34" s="57" t="str">
        <f>'18 Spieler'!$O$39</f>
        <v> </v>
      </c>
      <c r="L34" s="57" t="str">
        <f>'18 Spieler'!$Y$19</f>
        <v> </v>
      </c>
      <c r="M34" s="57" t="str">
        <f>'18 Spieler'!$G$40</f>
        <v> </v>
      </c>
      <c r="N34" s="57" t="str">
        <f>'18 Spieler'!$Q$18</f>
        <v> </v>
      </c>
      <c r="O34" s="57" t="str">
        <f>'18 Spieler'!$AM$28</f>
        <v> </v>
      </c>
      <c r="P34" s="57" t="str">
        <f>'18 Spieler'!$I$17</f>
        <v> </v>
      </c>
      <c r="Q34" s="57" t="str">
        <f>'18 Spieler'!$AE$29</f>
        <v> </v>
      </c>
      <c r="R34" s="57" t="str">
        <f>'18 Spieler'!$Q$55</f>
        <v> </v>
      </c>
      <c r="S34" s="57" t="str">
        <f>'18 Spieler'!$W$30</f>
        <v> </v>
      </c>
      <c r="T34" s="57" t="str">
        <f>'18 Spieler'!$I$54</f>
        <v> </v>
      </c>
      <c r="U34" s="30" t="str">
        <f>'18 Spieler'!$W$38</f>
        <v> </v>
      </c>
      <c r="V34" s="79" t="str">
        <f t="shared" si="31"/>
        <v> </v>
      </c>
      <c r="W34" s="77">
        <f t="shared" si="32"/>
      </c>
      <c r="X34" s="61" t="str">
        <f>IF('Tabelle 18'!$C$5=C34,'Tabelle 18'!$R$5,"")&amp;IF('Tabelle 18'!$C$6=C34,'Tabelle 18'!$R$6,"")&amp;IF('Tabelle 18'!$C$7=C34,'Tabelle 18'!$R$7,"")&amp;IF('Tabelle 18'!$C$8=C34,'Tabelle 18'!$R$8,"")&amp;IF('Tabelle 18'!$C$9=C34,'Tabelle 18'!$R$9,"")&amp;IF('Tabelle 18'!$C$10=C34,'Tabelle 18'!$R$10,"")&amp;IF('Tabelle 18'!$C$11=C34,'Tabelle 18'!$R$11,"")&amp;IF('Tabelle 18'!$C$12=C34,'Tabelle 18'!$R$12,"")&amp;IF('Tabelle 18'!$C$13=C34,'Tabelle 18'!$R$13,"")&amp;IF('Tabelle 18'!$C$14=C34,'Tabelle 18'!$R$14,"")&amp;IF('Tabelle 18'!$C$15=C34,'Tabelle 18'!$R$15,"")&amp;IF('Tabelle 18'!$C$16=C34,'Tabelle 18'!$R$16,"")&amp;IF('Tabelle 18'!$C$17=C34,'Tabelle 18'!$R$17,"")&amp;IF('Tabelle 18'!$C$18=C34,'Tabelle 18'!$R$18,"")&amp;IF('Tabelle 18'!$C$19=C34,'Tabelle 18'!$R$19,"")&amp;IF('Tabelle 18'!$C$20=C34,'Tabelle 18'!$R$20,"")&amp;IF('Tabelle 18'!$C$21=C34,'Tabelle 18'!$R$21,"")&amp;IF('Tabelle 18'!$C$22=C34,'Tabelle 18'!$R$22,"")</f>
        <v> </v>
      </c>
      <c r="Y34" s="2"/>
      <c r="Z34" s="2"/>
      <c r="AA34" s="103">
        <f t="shared" si="33"/>
        <v>6</v>
      </c>
      <c r="AB34" s="104" t="str">
        <f t="shared" si="34"/>
        <v>Spieler 6</v>
      </c>
      <c r="AC34" s="105" t="str">
        <f t="shared" si="35"/>
        <v> </v>
      </c>
      <c r="AD34" s="105" t="str">
        <f t="shared" si="36"/>
        <v> </v>
      </c>
      <c r="AE34" s="105" t="str">
        <f t="shared" si="37"/>
        <v> </v>
      </c>
      <c r="AF34" s="105" t="str">
        <f t="shared" si="38"/>
        <v> </v>
      </c>
      <c r="AG34" s="105" t="str">
        <f t="shared" si="39"/>
        <v> </v>
      </c>
      <c r="AH34" s="105" t="str">
        <f t="shared" si="40"/>
        <v> </v>
      </c>
      <c r="AI34" s="105" t="str">
        <f t="shared" si="41"/>
        <v> </v>
      </c>
      <c r="AJ34" s="105" t="str">
        <f t="shared" si="42"/>
        <v> </v>
      </c>
      <c r="AK34" s="105" t="str">
        <f t="shared" si="43"/>
        <v> </v>
      </c>
      <c r="AL34" s="105" t="str">
        <f t="shared" si="44"/>
        <v> </v>
      </c>
      <c r="AM34" s="105" t="str">
        <f t="shared" si="45"/>
        <v> </v>
      </c>
      <c r="AN34" s="105" t="str">
        <f t="shared" si="46"/>
        <v> </v>
      </c>
      <c r="AO34" s="105" t="str">
        <f t="shared" si="47"/>
        <v> </v>
      </c>
      <c r="AP34" s="105" t="str">
        <f t="shared" si="48"/>
        <v> </v>
      </c>
      <c r="AQ34" s="105" t="str">
        <f t="shared" si="49"/>
        <v> </v>
      </c>
      <c r="AR34" s="105" t="str">
        <f t="shared" si="50"/>
        <v> </v>
      </c>
      <c r="AS34" s="105" t="str">
        <f t="shared" si="51"/>
        <v> </v>
      </c>
      <c r="AT34" s="106" t="str">
        <f t="shared" si="52"/>
        <v> </v>
      </c>
      <c r="AU34" s="107" t="str">
        <f t="shared" si="53"/>
        <v> </v>
      </c>
      <c r="AV34" s="108">
        <f t="shared" si="54"/>
      </c>
      <c r="AW34" s="109" t="str">
        <f t="shared" si="55"/>
        <v> </v>
      </c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2:81" ht="24.75" customHeight="1">
      <c r="B35" s="10">
        <v>7</v>
      </c>
      <c r="C35" s="26" t="str">
        <f>Eingabe!$C$12</f>
        <v>Spieler 7</v>
      </c>
      <c r="D35" s="57" t="str">
        <f>'18 Spieler'!$AO$41</f>
        <v> </v>
      </c>
      <c r="E35" s="57" t="str">
        <f>'18 Spieler'!$G$31</f>
        <v> </v>
      </c>
      <c r="F35" s="57" t="str">
        <f>'18 Spieler'!$AG$40</f>
        <v> </v>
      </c>
      <c r="G35" s="57" t="str">
        <f>'18 Spieler'!$AM$19</f>
        <v> </v>
      </c>
      <c r="H35" s="57" t="str">
        <f>'18 Spieler'!$Y$39</f>
        <v> </v>
      </c>
      <c r="I35" s="57" t="str">
        <f>'18 Spieler'!$AE$20</f>
        <v> </v>
      </c>
      <c r="J35" s="68"/>
      <c r="K35" s="57" t="str">
        <f>'18 Spieler'!$Y$20</f>
        <v> </v>
      </c>
      <c r="L35" s="57" t="str">
        <f>'18 Spieler'!$G$39</f>
        <v> </v>
      </c>
      <c r="M35" s="57" t="str">
        <f>'18 Spieler'!$Q$19</f>
        <v> </v>
      </c>
      <c r="N35" s="57" t="str">
        <f>'18 Spieler'!$AM$27</f>
        <v> </v>
      </c>
      <c r="O35" s="57" t="str">
        <f>'18 Spieler'!$I$18</f>
        <v> </v>
      </c>
      <c r="P35" s="57" t="str">
        <f>'18 Spieler'!$AE$28</f>
        <v> </v>
      </c>
      <c r="Q35" s="57" t="str">
        <f>'18 Spieler'!$Q$56</f>
        <v> </v>
      </c>
      <c r="R35" s="57" t="str">
        <f>'18 Spieler'!$W$29</f>
        <v> </v>
      </c>
      <c r="S35" s="57" t="str">
        <f>'18 Spieler'!$I$55</f>
        <v> </v>
      </c>
      <c r="T35" s="57" t="str">
        <f>'18 Spieler'!$O$30</f>
        <v> </v>
      </c>
      <c r="U35" s="30" t="str">
        <f>'18 Spieler'!$O$38</f>
        <v> </v>
      </c>
      <c r="V35" s="79" t="str">
        <f t="shared" si="31"/>
        <v> </v>
      </c>
      <c r="W35" s="77">
        <f t="shared" si="32"/>
      </c>
      <c r="X35" s="61" t="str">
        <f>IF('Tabelle 18'!$C$5=C35,'Tabelle 18'!$R$5,"")&amp;IF('Tabelle 18'!$C$6=C35,'Tabelle 18'!$R$6,"")&amp;IF('Tabelle 18'!$C$7=C35,'Tabelle 18'!$R$7,"")&amp;IF('Tabelle 18'!$C$8=C35,'Tabelle 18'!$R$8,"")&amp;IF('Tabelle 18'!$C$9=C35,'Tabelle 18'!$R$9,"")&amp;IF('Tabelle 18'!$C$10=C35,'Tabelle 18'!$R$10,"")&amp;IF('Tabelle 18'!$C$11=C35,'Tabelle 18'!$R$11,"")&amp;IF('Tabelle 18'!$C$12=C35,'Tabelle 18'!$R$12,"")&amp;IF('Tabelle 18'!$C$13=C35,'Tabelle 18'!$R$13,"")&amp;IF('Tabelle 18'!$C$14=C35,'Tabelle 18'!$R$14,"")&amp;IF('Tabelle 18'!$C$15=C35,'Tabelle 18'!$R$15,"")&amp;IF('Tabelle 18'!$C$16=C35,'Tabelle 18'!$R$16,"")&amp;IF('Tabelle 18'!$C$17=C35,'Tabelle 18'!$R$17,"")&amp;IF('Tabelle 18'!$C$18=C35,'Tabelle 18'!$R$18,"")&amp;IF('Tabelle 18'!$C$19=C35,'Tabelle 18'!$R$19,"")&amp;IF('Tabelle 18'!$C$20=C35,'Tabelle 18'!$R$20,"")&amp;IF('Tabelle 18'!$C$21=C35,'Tabelle 18'!$R$21,"")&amp;IF('Tabelle 18'!$C$22=C35,'Tabelle 18'!$R$22,"")</f>
        <v> </v>
      </c>
      <c r="Y35" s="2"/>
      <c r="Z35" s="2"/>
      <c r="AA35" s="103">
        <f t="shared" si="33"/>
        <v>7</v>
      </c>
      <c r="AB35" s="104" t="str">
        <f t="shared" si="34"/>
        <v>Spieler 7</v>
      </c>
      <c r="AC35" s="105" t="str">
        <f t="shared" si="35"/>
        <v> </v>
      </c>
      <c r="AD35" s="105" t="str">
        <f t="shared" si="36"/>
        <v> </v>
      </c>
      <c r="AE35" s="105" t="str">
        <f t="shared" si="37"/>
        <v> </v>
      </c>
      <c r="AF35" s="105" t="str">
        <f t="shared" si="38"/>
        <v> </v>
      </c>
      <c r="AG35" s="105" t="str">
        <f t="shared" si="39"/>
        <v> </v>
      </c>
      <c r="AH35" s="105" t="str">
        <f t="shared" si="40"/>
        <v> </v>
      </c>
      <c r="AI35" s="105" t="str">
        <f t="shared" si="41"/>
        <v> </v>
      </c>
      <c r="AJ35" s="105" t="str">
        <f t="shared" si="42"/>
        <v> </v>
      </c>
      <c r="AK35" s="105" t="str">
        <f t="shared" si="43"/>
        <v> </v>
      </c>
      <c r="AL35" s="105" t="str">
        <f t="shared" si="44"/>
        <v> </v>
      </c>
      <c r="AM35" s="105" t="str">
        <f t="shared" si="45"/>
        <v> </v>
      </c>
      <c r="AN35" s="105" t="str">
        <f t="shared" si="46"/>
        <v> </v>
      </c>
      <c r="AO35" s="105" t="str">
        <f t="shared" si="47"/>
        <v> </v>
      </c>
      <c r="AP35" s="105" t="str">
        <f t="shared" si="48"/>
        <v> </v>
      </c>
      <c r="AQ35" s="105" t="str">
        <f t="shared" si="49"/>
        <v> </v>
      </c>
      <c r="AR35" s="105" t="str">
        <f t="shared" si="50"/>
        <v> </v>
      </c>
      <c r="AS35" s="105" t="str">
        <f t="shared" si="51"/>
        <v> </v>
      </c>
      <c r="AT35" s="106" t="str">
        <f t="shared" si="52"/>
        <v> </v>
      </c>
      <c r="AU35" s="107" t="str">
        <f t="shared" si="53"/>
        <v> </v>
      </c>
      <c r="AV35" s="108">
        <f t="shared" si="54"/>
      </c>
      <c r="AW35" s="109" t="str">
        <f t="shared" si="55"/>
        <v> </v>
      </c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2:81" ht="24.75" customHeight="1">
      <c r="B36" s="10">
        <v>8</v>
      </c>
      <c r="C36" s="26" t="str">
        <f>Eingabe!$C$13</f>
        <v>Spieler 8</v>
      </c>
      <c r="D36" s="57" t="str">
        <f>'18 Spieler'!$G$30</f>
        <v> </v>
      </c>
      <c r="E36" s="57" t="str">
        <f>'18 Spieler'!$AG$41</f>
        <v> </v>
      </c>
      <c r="F36" s="57" t="str">
        <f>'18 Spieler'!$AM$18</f>
        <v> </v>
      </c>
      <c r="G36" s="57" t="str">
        <f>'18 Spieler'!$Y$40</f>
        <v> </v>
      </c>
      <c r="H36" s="57" t="str">
        <f>'18 Spieler'!$AE$19</f>
        <v> </v>
      </c>
      <c r="I36" s="57" t="str">
        <f>'18 Spieler'!$Q$39</f>
        <v> </v>
      </c>
      <c r="J36" s="57" t="str">
        <f>'18 Spieler'!$W$20</f>
        <v> </v>
      </c>
      <c r="K36" s="68"/>
      <c r="L36" s="57" t="str">
        <f>'18 Spieler'!$Q$20</f>
        <v> </v>
      </c>
      <c r="M36" s="57" t="str">
        <f>'18 Spieler'!$AM$26</f>
        <v> </v>
      </c>
      <c r="N36" s="57" t="str">
        <f>'18 Spieler'!$I$19</f>
        <v> </v>
      </c>
      <c r="O36" s="57" t="str">
        <f>'18 Spieler'!$AE$27</f>
        <v> </v>
      </c>
      <c r="P36" s="57" t="str">
        <f>'18 Spieler'!$Q$57</f>
        <v> </v>
      </c>
      <c r="Q36" s="57" t="str">
        <f>'18 Spieler'!$W$28</f>
        <v> </v>
      </c>
      <c r="R36" s="57" t="str">
        <f>'18 Spieler'!$I$56</f>
        <v> </v>
      </c>
      <c r="S36" s="57" t="str">
        <f>'18 Spieler'!$O$29</f>
        <v> </v>
      </c>
      <c r="T36" s="57" t="str">
        <f>'18 Spieler'!$AO$42</f>
        <v> </v>
      </c>
      <c r="U36" s="30" t="str">
        <f>'18 Spieler'!$G$38</f>
        <v> </v>
      </c>
      <c r="V36" s="79" t="str">
        <f t="shared" si="31"/>
        <v> </v>
      </c>
      <c r="W36" s="77">
        <f t="shared" si="32"/>
      </c>
      <c r="X36" s="61" t="str">
        <f>IF('Tabelle 18'!$C$5=C36,'Tabelle 18'!$R$5,"")&amp;IF('Tabelle 18'!$C$6=C36,'Tabelle 18'!$R$6,"")&amp;IF('Tabelle 18'!$C$7=C36,'Tabelle 18'!$R$7,"")&amp;IF('Tabelle 18'!$C$8=C36,'Tabelle 18'!$R$8,"")&amp;IF('Tabelle 18'!$C$9=C36,'Tabelle 18'!$R$9,"")&amp;IF('Tabelle 18'!$C$10=C36,'Tabelle 18'!$R$10,"")&amp;IF('Tabelle 18'!$C$11=C36,'Tabelle 18'!$R$11,"")&amp;IF('Tabelle 18'!$C$12=C36,'Tabelle 18'!$R$12,"")&amp;IF('Tabelle 18'!$C$13=C36,'Tabelle 18'!$R$13,"")&amp;IF('Tabelle 18'!$C$14=C36,'Tabelle 18'!$R$14,"")&amp;IF('Tabelle 18'!$C$15=C36,'Tabelle 18'!$R$15,"")&amp;IF('Tabelle 18'!$C$16=C36,'Tabelle 18'!$R$16,"")&amp;IF('Tabelle 18'!$C$17=C36,'Tabelle 18'!$R$17,"")&amp;IF('Tabelle 18'!$C$18=C36,'Tabelle 18'!$R$18,"")&amp;IF('Tabelle 18'!$C$19=C36,'Tabelle 18'!$R$19,"")&amp;IF('Tabelle 18'!$C$20=C36,'Tabelle 18'!$R$20,"")&amp;IF('Tabelle 18'!$C$21=C36,'Tabelle 18'!$R$21,"")&amp;IF('Tabelle 18'!$C$22=C36,'Tabelle 18'!$R$22,"")</f>
        <v> </v>
      </c>
      <c r="Y36" s="2"/>
      <c r="Z36" s="2"/>
      <c r="AA36" s="103">
        <f t="shared" si="33"/>
        <v>8</v>
      </c>
      <c r="AB36" s="104" t="str">
        <f t="shared" si="34"/>
        <v>Spieler 8</v>
      </c>
      <c r="AC36" s="105" t="str">
        <f t="shared" si="35"/>
        <v> </v>
      </c>
      <c r="AD36" s="105" t="str">
        <f t="shared" si="36"/>
        <v> </v>
      </c>
      <c r="AE36" s="105" t="str">
        <f t="shared" si="37"/>
        <v> </v>
      </c>
      <c r="AF36" s="105" t="str">
        <f t="shared" si="38"/>
        <v> </v>
      </c>
      <c r="AG36" s="105" t="str">
        <f t="shared" si="39"/>
        <v> </v>
      </c>
      <c r="AH36" s="105" t="str">
        <f t="shared" si="40"/>
        <v> </v>
      </c>
      <c r="AI36" s="105" t="str">
        <f t="shared" si="41"/>
        <v> </v>
      </c>
      <c r="AJ36" s="105" t="str">
        <f t="shared" si="42"/>
        <v> </v>
      </c>
      <c r="AK36" s="105" t="str">
        <f t="shared" si="43"/>
        <v> </v>
      </c>
      <c r="AL36" s="105" t="str">
        <f t="shared" si="44"/>
        <v> </v>
      </c>
      <c r="AM36" s="105" t="str">
        <f t="shared" si="45"/>
        <v> </v>
      </c>
      <c r="AN36" s="105" t="str">
        <f t="shared" si="46"/>
        <v> </v>
      </c>
      <c r="AO36" s="105" t="str">
        <f t="shared" si="47"/>
        <v> </v>
      </c>
      <c r="AP36" s="105" t="str">
        <f t="shared" si="48"/>
        <v> </v>
      </c>
      <c r="AQ36" s="105" t="str">
        <f t="shared" si="49"/>
        <v> </v>
      </c>
      <c r="AR36" s="105" t="str">
        <f t="shared" si="50"/>
        <v> </v>
      </c>
      <c r="AS36" s="105" t="str">
        <f t="shared" si="51"/>
        <v> </v>
      </c>
      <c r="AT36" s="106" t="str">
        <f t="shared" si="52"/>
        <v> </v>
      </c>
      <c r="AU36" s="107" t="str">
        <f t="shared" si="53"/>
        <v> </v>
      </c>
      <c r="AV36" s="108">
        <f t="shared" si="54"/>
      </c>
      <c r="AW36" s="109" t="str">
        <f t="shared" si="55"/>
        <v> </v>
      </c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2:81" ht="24.75" customHeight="1">
      <c r="B37" s="10">
        <v>9</v>
      </c>
      <c r="C37" s="26" t="str">
        <f>Eingabe!$C$14</f>
        <v>Spieler 9</v>
      </c>
      <c r="D37" s="57" t="str">
        <f>'18 Spieler'!$AG$42</f>
        <v> </v>
      </c>
      <c r="E37" s="57" t="str">
        <f>'18 Spieler'!$AM$17</f>
        <v> </v>
      </c>
      <c r="F37" s="57" t="str">
        <f>'18 Spieler'!$Y$41</f>
        <v> </v>
      </c>
      <c r="G37" s="57" t="str">
        <f>'18 Spieler'!$AE$18</f>
        <v> </v>
      </c>
      <c r="H37" s="57" t="str">
        <f>'18 Spieler'!$Q$40</f>
        <v> </v>
      </c>
      <c r="I37" s="57" t="str">
        <f>'18 Spieler'!$W$19</f>
        <v> </v>
      </c>
      <c r="J37" s="57" t="str">
        <f>'18 Spieler'!$I$39</f>
        <v> </v>
      </c>
      <c r="K37" s="57" t="str">
        <f>'18 Spieler'!$O$20</f>
        <v> </v>
      </c>
      <c r="L37" s="68"/>
      <c r="M37" s="57" t="str">
        <f>'18 Spieler'!$I$20</f>
        <v> </v>
      </c>
      <c r="N37" s="57" t="str">
        <f>'18 Spieler'!$AE$26</f>
        <v> </v>
      </c>
      <c r="O37" s="57" t="str">
        <f>'18 Spieler'!$Q$58</f>
        <v> </v>
      </c>
      <c r="P37" s="57" t="str">
        <f>'18 Spieler'!$W$27</f>
        <v> </v>
      </c>
      <c r="Q37" s="57" t="str">
        <f>'18 Spieler'!$I$57</f>
        <v> </v>
      </c>
      <c r="R37" s="57" t="str">
        <f>'18 Spieler'!$O$28</f>
        <v> </v>
      </c>
      <c r="S37" s="57" t="str">
        <f>'18 Spieler'!$AO$43</f>
        <v> </v>
      </c>
      <c r="T37" s="57" t="str">
        <f>'18 Spieler'!$G$29</f>
        <v> </v>
      </c>
      <c r="U37" s="30" t="str">
        <f>'18 Spieler'!$AM$25</f>
        <v> </v>
      </c>
      <c r="V37" s="79" t="str">
        <f t="shared" si="31"/>
        <v> </v>
      </c>
      <c r="W37" s="77">
        <f t="shared" si="32"/>
      </c>
      <c r="X37" s="61" t="str">
        <f>IF('Tabelle 18'!$C$5=C37,'Tabelle 18'!$R$5,"")&amp;IF('Tabelle 18'!$C$6=C37,'Tabelle 18'!$R$6,"")&amp;IF('Tabelle 18'!$C$7=C37,'Tabelle 18'!$R$7,"")&amp;IF('Tabelle 18'!$C$8=C37,'Tabelle 18'!$R$8,"")&amp;IF('Tabelle 18'!$C$9=C37,'Tabelle 18'!$R$9,"")&amp;IF('Tabelle 18'!$C$10=C37,'Tabelle 18'!$R$10,"")&amp;IF('Tabelle 18'!$C$11=C37,'Tabelle 18'!$R$11,"")&amp;IF('Tabelle 18'!$C$12=C37,'Tabelle 18'!$R$12,"")&amp;IF('Tabelle 18'!$C$13=C37,'Tabelle 18'!$R$13,"")&amp;IF('Tabelle 18'!$C$14=C37,'Tabelle 18'!$R$14,"")&amp;IF('Tabelle 18'!$C$15=C37,'Tabelle 18'!$R$15,"")&amp;IF('Tabelle 18'!$C$16=C37,'Tabelle 18'!$R$16,"")&amp;IF('Tabelle 18'!$C$17=C37,'Tabelle 18'!$R$17,"")&amp;IF('Tabelle 18'!$C$18=C37,'Tabelle 18'!$R$18,"")&amp;IF('Tabelle 18'!$C$19=C37,'Tabelle 18'!$R$19,"")&amp;IF('Tabelle 18'!$C$20=C37,'Tabelle 18'!$R$20,"")&amp;IF('Tabelle 18'!$C$21=C37,'Tabelle 18'!$R$21,"")&amp;IF('Tabelle 18'!$C$22=C37,'Tabelle 18'!$R$22,"")</f>
        <v> </v>
      </c>
      <c r="Y37" s="2"/>
      <c r="Z37" s="2"/>
      <c r="AA37" s="103">
        <f t="shared" si="33"/>
        <v>9</v>
      </c>
      <c r="AB37" s="104" t="str">
        <f t="shared" si="34"/>
        <v>Spieler 9</v>
      </c>
      <c r="AC37" s="105" t="str">
        <f t="shared" si="35"/>
        <v> </v>
      </c>
      <c r="AD37" s="105" t="str">
        <f t="shared" si="36"/>
        <v> </v>
      </c>
      <c r="AE37" s="105" t="str">
        <f t="shared" si="37"/>
        <v> </v>
      </c>
      <c r="AF37" s="105" t="str">
        <f t="shared" si="38"/>
        <v> </v>
      </c>
      <c r="AG37" s="105" t="str">
        <f t="shared" si="39"/>
        <v> </v>
      </c>
      <c r="AH37" s="105" t="str">
        <f t="shared" si="40"/>
        <v> </v>
      </c>
      <c r="AI37" s="105" t="str">
        <f t="shared" si="41"/>
        <v> </v>
      </c>
      <c r="AJ37" s="105" t="str">
        <f t="shared" si="42"/>
        <v> </v>
      </c>
      <c r="AK37" s="105" t="str">
        <f t="shared" si="43"/>
        <v> </v>
      </c>
      <c r="AL37" s="105" t="str">
        <f t="shared" si="44"/>
        <v> </v>
      </c>
      <c r="AM37" s="105" t="str">
        <f t="shared" si="45"/>
        <v> </v>
      </c>
      <c r="AN37" s="105" t="str">
        <f t="shared" si="46"/>
        <v> </v>
      </c>
      <c r="AO37" s="105" t="str">
        <f t="shared" si="47"/>
        <v> </v>
      </c>
      <c r="AP37" s="105" t="str">
        <f t="shared" si="48"/>
        <v> </v>
      </c>
      <c r="AQ37" s="105" t="str">
        <f t="shared" si="49"/>
        <v> </v>
      </c>
      <c r="AR37" s="105" t="str">
        <f t="shared" si="50"/>
        <v> </v>
      </c>
      <c r="AS37" s="105" t="str">
        <f t="shared" si="51"/>
        <v> </v>
      </c>
      <c r="AT37" s="106" t="str">
        <f t="shared" si="52"/>
        <v> </v>
      </c>
      <c r="AU37" s="107" t="str">
        <f t="shared" si="53"/>
        <v> </v>
      </c>
      <c r="AV37" s="108">
        <f t="shared" si="54"/>
      </c>
      <c r="AW37" s="109" t="str">
        <f t="shared" si="55"/>
        <v> </v>
      </c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2:81" ht="24.75" customHeight="1">
      <c r="B38" s="10">
        <v>10</v>
      </c>
      <c r="C38" s="26" t="str">
        <f>Eingabe!$C$15</f>
        <v>Spieler 10</v>
      </c>
      <c r="D38" s="57" t="str">
        <f>'18 Spieler'!$AM$16</f>
        <v> </v>
      </c>
      <c r="E38" s="57" t="str">
        <f>'18 Spieler'!$Y$42</f>
        <v> </v>
      </c>
      <c r="F38" s="57" t="str">
        <f>'18 Spieler'!$AE$17</f>
        <v> </v>
      </c>
      <c r="G38" s="57" t="str">
        <f>'18 Spieler'!$Q$41</f>
        <v> </v>
      </c>
      <c r="H38" s="57" t="str">
        <f>'18 Spieler'!$W$18</f>
        <v> </v>
      </c>
      <c r="I38" s="57" t="str">
        <f>'18 Spieler'!$I$40</f>
        <v> </v>
      </c>
      <c r="J38" s="57" t="str">
        <f>'18 Spieler'!$O$19</f>
        <v> </v>
      </c>
      <c r="K38" s="57" t="str">
        <f>'18 Spieler'!$AO$26</f>
        <v> </v>
      </c>
      <c r="L38" s="57" t="str">
        <f>'18 Spieler'!$G$20</f>
        <v> </v>
      </c>
      <c r="M38" s="68"/>
      <c r="N38" s="57" t="str">
        <f>'18 Spieler'!$Q$59</f>
        <v> </v>
      </c>
      <c r="O38" s="57" t="str">
        <f>'18 Spieler'!$W$26</f>
        <v> </v>
      </c>
      <c r="P38" s="57" t="str">
        <f>'18 Spieler'!$I$58</f>
        <v> </v>
      </c>
      <c r="Q38" s="57" t="str">
        <f>'18 Spieler'!$O$27</f>
        <v> </v>
      </c>
      <c r="R38" s="57" t="str">
        <f>'18 Spieler'!$AO44</f>
        <v> </v>
      </c>
      <c r="S38" s="57" t="str">
        <f>'18 Spieler'!$G$28</f>
        <v> </v>
      </c>
      <c r="T38" s="57" t="str">
        <f>'18 Spieler'!$AG$43</f>
        <v> </v>
      </c>
      <c r="U38" s="30" t="str">
        <f>'18 Spieler'!$AE$25</f>
        <v> </v>
      </c>
      <c r="V38" s="79" t="str">
        <f t="shared" si="31"/>
        <v> </v>
      </c>
      <c r="W38" s="77">
        <f t="shared" si="32"/>
      </c>
      <c r="X38" s="61" t="str">
        <f>IF('Tabelle 18'!$C$5=C38,'Tabelle 18'!$R$5,"")&amp;IF('Tabelle 18'!$C$6=C38,'Tabelle 18'!$R$6,"")&amp;IF('Tabelle 18'!$C$7=C38,'Tabelle 18'!$R$7,"")&amp;IF('Tabelle 18'!$C$8=C38,'Tabelle 18'!$R$8,"")&amp;IF('Tabelle 18'!$C$9=C38,'Tabelle 18'!$R$9,"")&amp;IF('Tabelle 18'!$C$10=C38,'Tabelle 18'!$R$10,"")&amp;IF('Tabelle 18'!$C$11=C38,'Tabelle 18'!$R$11,"")&amp;IF('Tabelle 18'!$C$12=C38,'Tabelle 18'!$R$12,"")&amp;IF('Tabelle 18'!$C$13=C38,'Tabelle 18'!$R$13,"")&amp;IF('Tabelle 18'!$C$14=C38,'Tabelle 18'!$R$14,"")&amp;IF('Tabelle 18'!$C$15=C38,'Tabelle 18'!$R$15,"")&amp;IF('Tabelle 18'!$C$16=C38,'Tabelle 18'!$R$16,"")&amp;IF('Tabelle 18'!$C$17=C38,'Tabelle 18'!$R$17,"")&amp;IF('Tabelle 18'!$C$18=C38,'Tabelle 18'!$R$18,"")&amp;IF('Tabelle 18'!$C$19=C38,'Tabelle 18'!$R$19,"")&amp;IF('Tabelle 18'!$C$20=C38,'Tabelle 18'!$R$20,"")&amp;IF('Tabelle 18'!$C$21=C38,'Tabelle 18'!$R$21,"")&amp;IF('Tabelle 18'!$C$22=C38,'Tabelle 18'!$R$22,"")</f>
        <v> </v>
      </c>
      <c r="Y38" s="2"/>
      <c r="Z38" s="2"/>
      <c r="AA38" s="103">
        <f t="shared" si="33"/>
        <v>10</v>
      </c>
      <c r="AB38" s="104" t="str">
        <f t="shared" si="34"/>
        <v>Spieler 10</v>
      </c>
      <c r="AC38" s="105" t="str">
        <f t="shared" si="35"/>
        <v> </v>
      </c>
      <c r="AD38" s="105" t="str">
        <f t="shared" si="36"/>
        <v> </v>
      </c>
      <c r="AE38" s="105" t="str">
        <f t="shared" si="37"/>
        <v> </v>
      </c>
      <c r="AF38" s="105" t="str">
        <f t="shared" si="38"/>
        <v> </v>
      </c>
      <c r="AG38" s="105" t="str">
        <f t="shared" si="39"/>
        <v> </v>
      </c>
      <c r="AH38" s="105" t="str">
        <f t="shared" si="40"/>
        <v> </v>
      </c>
      <c r="AI38" s="105" t="str">
        <f t="shared" si="41"/>
        <v> </v>
      </c>
      <c r="AJ38" s="105" t="str">
        <f t="shared" si="42"/>
        <v> </v>
      </c>
      <c r="AK38" s="105" t="str">
        <f t="shared" si="43"/>
        <v> </v>
      </c>
      <c r="AL38" s="105" t="str">
        <f t="shared" si="44"/>
        <v> </v>
      </c>
      <c r="AM38" s="105" t="str">
        <f t="shared" si="45"/>
        <v> </v>
      </c>
      <c r="AN38" s="105" t="str">
        <f t="shared" si="46"/>
        <v> </v>
      </c>
      <c r="AO38" s="105" t="str">
        <f t="shared" si="47"/>
        <v> </v>
      </c>
      <c r="AP38" s="105" t="str">
        <f t="shared" si="48"/>
        <v> </v>
      </c>
      <c r="AQ38" s="105" t="str">
        <f t="shared" si="49"/>
        <v> </v>
      </c>
      <c r="AR38" s="105" t="str">
        <f t="shared" si="50"/>
        <v> </v>
      </c>
      <c r="AS38" s="105" t="str">
        <f t="shared" si="51"/>
        <v> </v>
      </c>
      <c r="AT38" s="106" t="str">
        <f t="shared" si="52"/>
        <v> </v>
      </c>
      <c r="AU38" s="107" t="str">
        <f t="shared" si="53"/>
        <v> </v>
      </c>
      <c r="AV38" s="108">
        <f t="shared" si="54"/>
      </c>
      <c r="AW38" s="109" t="str">
        <f t="shared" si="55"/>
        <v> </v>
      </c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2:81" ht="24.75" customHeight="1">
      <c r="B39" s="10">
        <v>11</v>
      </c>
      <c r="C39" s="26" t="str">
        <f>Eingabe!$G$6</f>
        <v>Spieler 11</v>
      </c>
      <c r="D39" s="57" t="str">
        <f>'18 Spieler'!$Y$43</f>
        <v> </v>
      </c>
      <c r="E39" s="57" t="str">
        <f>'18 Spieler'!$AE$16</f>
        <v> </v>
      </c>
      <c r="F39" s="57" t="str">
        <f>'18 Spieler'!$Q$42</f>
        <v> </v>
      </c>
      <c r="G39" s="57" t="str">
        <f>'18 Spieler'!$W$17</f>
        <v> </v>
      </c>
      <c r="H39" s="57" t="str">
        <f>'18 Spieler'!$I$41</f>
        <v> </v>
      </c>
      <c r="I39" s="57" t="str">
        <f>'18 Spieler'!$O$18</f>
        <v> </v>
      </c>
      <c r="J39" s="57" t="str">
        <f>'18 Spieler'!$AO$27</f>
        <v> </v>
      </c>
      <c r="K39" s="57" t="str">
        <f>'18 Spieler'!$G$19</f>
        <v> </v>
      </c>
      <c r="L39" s="57" t="str">
        <f>'18 Spieler'!$AG$26</f>
        <v> </v>
      </c>
      <c r="M39" s="57" t="str">
        <f>'18 Spieler'!$O$59</f>
        <v> </v>
      </c>
      <c r="N39" s="68"/>
      <c r="O39" s="57" t="str">
        <f>'18 Spieler'!$I$59</f>
        <v> </v>
      </c>
      <c r="P39" s="57" t="str">
        <f>'18 Spieler'!$O$26</f>
        <v> </v>
      </c>
      <c r="Q39" s="57" t="str">
        <f>'18 Spieler'!$AO$45</f>
        <v> </v>
      </c>
      <c r="R39" s="57" t="str">
        <f>'18 Spieler'!$G$27</f>
        <v> </v>
      </c>
      <c r="S39" s="57" t="str">
        <f>'18 Spieler'!$AG$44</f>
        <v> </v>
      </c>
      <c r="T39" s="57" t="str">
        <f>'18 Spieler'!$AM$15</f>
        <v> </v>
      </c>
      <c r="U39" s="30" t="str">
        <f>'18 Spieler'!$W$25</f>
        <v> </v>
      </c>
      <c r="V39" s="79" t="str">
        <f t="shared" si="31"/>
        <v> </v>
      </c>
      <c r="W39" s="77">
        <f t="shared" si="32"/>
      </c>
      <c r="X39" s="61" t="str">
        <f>IF('Tabelle 18'!$C$5=C39,'Tabelle 18'!$R$5,"")&amp;IF('Tabelle 18'!$C$6=C39,'Tabelle 18'!$R$6,"")&amp;IF('Tabelle 18'!$C$7=C39,'Tabelle 18'!$R$7,"")&amp;IF('Tabelle 18'!$C$8=C39,'Tabelle 18'!$R$8,"")&amp;IF('Tabelle 18'!$C$9=C39,'Tabelle 18'!$R$9,"")&amp;IF('Tabelle 18'!$C$10=C39,'Tabelle 18'!$R$10,"")&amp;IF('Tabelle 18'!$C$11=C39,'Tabelle 18'!$R$11,"")&amp;IF('Tabelle 18'!$C$12=C39,'Tabelle 18'!$R$12,"")&amp;IF('Tabelle 18'!$C$13=C39,'Tabelle 18'!$R$13,"")&amp;IF('Tabelle 18'!$C$14=C39,'Tabelle 18'!$R$14,"")&amp;IF('Tabelle 18'!$C$15=C39,'Tabelle 18'!$R$15,"")&amp;IF('Tabelle 18'!$C$16=C39,'Tabelle 18'!$R$16,"")&amp;IF('Tabelle 18'!$C$17=C39,'Tabelle 18'!$R$17,"")&amp;IF('Tabelle 18'!$C$18=C39,'Tabelle 18'!$R$18,"")&amp;IF('Tabelle 18'!$C$19=C39,'Tabelle 18'!$R$19,"")&amp;IF('Tabelle 18'!$C$20=C39,'Tabelle 18'!$R$20,"")&amp;IF('Tabelle 18'!$C$21=C39,'Tabelle 18'!$R$21,"")&amp;IF('Tabelle 18'!$C$22=C39,'Tabelle 18'!$R$22,"")</f>
        <v> </v>
      </c>
      <c r="Y39" s="2"/>
      <c r="Z39" s="2"/>
      <c r="AA39" s="103">
        <f t="shared" si="33"/>
        <v>11</v>
      </c>
      <c r="AB39" s="104" t="str">
        <f t="shared" si="34"/>
        <v>Spieler 11</v>
      </c>
      <c r="AC39" s="105" t="str">
        <f t="shared" si="35"/>
        <v> </v>
      </c>
      <c r="AD39" s="105" t="str">
        <f t="shared" si="36"/>
        <v> </v>
      </c>
      <c r="AE39" s="105" t="str">
        <f t="shared" si="37"/>
        <v> </v>
      </c>
      <c r="AF39" s="105" t="str">
        <f t="shared" si="38"/>
        <v> </v>
      </c>
      <c r="AG39" s="105" t="str">
        <f t="shared" si="39"/>
        <v> </v>
      </c>
      <c r="AH39" s="105" t="str">
        <f t="shared" si="40"/>
        <v> </v>
      </c>
      <c r="AI39" s="105" t="str">
        <f t="shared" si="41"/>
        <v> </v>
      </c>
      <c r="AJ39" s="105" t="str">
        <f t="shared" si="42"/>
        <v> </v>
      </c>
      <c r="AK39" s="105" t="str">
        <f t="shared" si="43"/>
        <v> </v>
      </c>
      <c r="AL39" s="105" t="str">
        <f t="shared" si="44"/>
        <v> </v>
      </c>
      <c r="AM39" s="105" t="str">
        <f t="shared" si="45"/>
        <v> </v>
      </c>
      <c r="AN39" s="105" t="str">
        <f t="shared" si="46"/>
        <v> </v>
      </c>
      <c r="AO39" s="105" t="str">
        <f t="shared" si="47"/>
        <v> </v>
      </c>
      <c r="AP39" s="105" t="str">
        <f t="shared" si="48"/>
        <v> </v>
      </c>
      <c r="AQ39" s="105" t="str">
        <f t="shared" si="49"/>
        <v> </v>
      </c>
      <c r="AR39" s="105" t="str">
        <f t="shared" si="50"/>
        <v> </v>
      </c>
      <c r="AS39" s="105" t="str">
        <f t="shared" si="51"/>
        <v> </v>
      </c>
      <c r="AT39" s="106" t="str">
        <f t="shared" si="52"/>
        <v> </v>
      </c>
      <c r="AU39" s="107" t="str">
        <f t="shared" si="53"/>
        <v> </v>
      </c>
      <c r="AV39" s="108">
        <f t="shared" si="54"/>
      </c>
      <c r="AW39" s="109" t="str">
        <f t="shared" si="55"/>
        <v> </v>
      </c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2:81" ht="24.75" customHeight="1">
      <c r="B40" s="10">
        <v>12</v>
      </c>
      <c r="C40" s="26" t="str">
        <f>Eingabe!$G$7</f>
        <v>Spieler 12</v>
      </c>
      <c r="D40" s="57" t="str">
        <f>'18 Spieler'!$AE$15</f>
        <v> </v>
      </c>
      <c r="E40" s="57" t="str">
        <f>'18 Spieler'!$Q$43</f>
        <v> </v>
      </c>
      <c r="F40" s="57" t="str">
        <f>'18 Spieler'!$W$16</f>
        <v> </v>
      </c>
      <c r="G40" s="57" t="str">
        <f>'18 Spieler'!$I$42</f>
        <v> </v>
      </c>
      <c r="H40" s="57" t="str">
        <f>'18 Spieler'!$O$17</f>
        <v> </v>
      </c>
      <c r="I40" s="57" t="str">
        <f>'18 Spieler'!$AO$28</f>
        <v> </v>
      </c>
      <c r="J40" s="57" t="str">
        <f>'18 Spieler'!$G$18</f>
        <v> </v>
      </c>
      <c r="K40" s="57" t="str">
        <f>'18 Spieler'!$AG$27</f>
        <v> </v>
      </c>
      <c r="L40" s="57" t="str">
        <f>'18 Spieler'!$O$58</f>
        <v> </v>
      </c>
      <c r="M40" s="57" t="str">
        <f>'18 Spieler'!$Y$26</f>
        <v> </v>
      </c>
      <c r="N40" s="57" t="str">
        <f>'18 Spieler'!$G$59</f>
        <v> </v>
      </c>
      <c r="O40" s="68"/>
      <c r="P40" s="57" t="str">
        <f>'18 Spieler'!$AO$46</f>
        <v> </v>
      </c>
      <c r="Q40" s="57" t="str">
        <f>'18 Spieler'!$G$26</f>
        <v> </v>
      </c>
      <c r="R40" s="57" t="str">
        <f>'18 Spieler'!$AG$45</f>
        <v> </v>
      </c>
      <c r="S40" s="57" t="str">
        <f>'18 Spieler'!$AM$14</f>
        <v> </v>
      </c>
      <c r="T40" s="57" t="str">
        <f>'18 Spieler'!$Y$44</f>
        <v> </v>
      </c>
      <c r="U40" s="30" t="str">
        <f>'18 Spieler'!$O$25</f>
        <v> </v>
      </c>
      <c r="V40" s="79" t="str">
        <f t="shared" si="31"/>
        <v> </v>
      </c>
      <c r="W40" s="77">
        <f t="shared" si="32"/>
      </c>
      <c r="X40" s="61" t="str">
        <f>IF('Tabelle 18'!$C$5=C40,'Tabelle 18'!$R$5,"")&amp;IF('Tabelle 18'!$C$6=C40,'Tabelle 18'!$R$6,"")&amp;IF('Tabelle 18'!$C$7=C40,'Tabelle 18'!$R$7,"")&amp;IF('Tabelle 18'!$C$8=C40,'Tabelle 18'!$R$8,"")&amp;IF('Tabelle 18'!$C$9=C40,'Tabelle 18'!$R$9,"")&amp;IF('Tabelle 18'!$C$10=C40,'Tabelle 18'!$R$10,"")&amp;IF('Tabelle 18'!$C$11=C40,'Tabelle 18'!$R$11,"")&amp;IF('Tabelle 18'!$C$12=C40,'Tabelle 18'!$R$12,"")&amp;IF('Tabelle 18'!$C$13=C40,'Tabelle 18'!$R$13,"")&amp;IF('Tabelle 18'!$C$14=C40,'Tabelle 18'!$R$14,"")&amp;IF('Tabelle 18'!$C$15=C40,'Tabelle 18'!$R$15,"")&amp;IF('Tabelle 18'!$C$16=C40,'Tabelle 18'!$R$16,"")&amp;IF('Tabelle 18'!$C$17=C40,'Tabelle 18'!$R$17,"")&amp;IF('Tabelle 18'!$C$18=C40,'Tabelle 18'!$R$18,"")&amp;IF('Tabelle 18'!$C$19=C40,'Tabelle 18'!$R$19,"")&amp;IF('Tabelle 18'!$C$20=C40,'Tabelle 18'!$R$20,"")&amp;IF('Tabelle 18'!$C$21=C40,'Tabelle 18'!$R$21,"")&amp;IF('Tabelle 18'!$C$22=C40,'Tabelle 18'!$R$22,"")</f>
        <v> </v>
      </c>
      <c r="Y40" s="2"/>
      <c r="Z40" s="2"/>
      <c r="AA40" s="103">
        <f t="shared" si="33"/>
        <v>12</v>
      </c>
      <c r="AB40" s="104" t="str">
        <f t="shared" si="34"/>
        <v>Spieler 12</v>
      </c>
      <c r="AC40" s="105" t="str">
        <f t="shared" si="35"/>
        <v> </v>
      </c>
      <c r="AD40" s="105" t="str">
        <f t="shared" si="36"/>
        <v> </v>
      </c>
      <c r="AE40" s="105" t="str">
        <f t="shared" si="37"/>
        <v> </v>
      </c>
      <c r="AF40" s="105" t="str">
        <f t="shared" si="38"/>
        <v> </v>
      </c>
      <c r="AG40" s="105" t="str">
        <f t="shared" si="39"/>
        <v> </v>
      </c>
      <c r="AH40" s="105" t="str">
        <f t="shared" si="40"/>
        <v> </v>
      </c>
      <c r="AI40" s="105" t="str">
        <f t="shared" si="41"/>
        <v> </v>
      </c>
      <c r="AJ40" s="105" t="str">
        <f t="shared" si="42"/>
        <v> </v>
      </c>
      <c r="AK40" s="105" t="str">
        <f t="shared" si="43"/>
        <v> </v>
      </c>
      <c r="AL40" s="105" t="str">
        <f t="shared" si="44"/>
        <v> </v>
      </c>
      <c r="AM40" s="105" t="str">
        <f t="shared" si="45"/>
        <v> </v>
      </c>
      <c r="AN40" s="105" t="str">
        <f t="shared" si="46"/>
        <v> </v>
      </c>
      <c r="AO40" s="105" t="str">
        <f t="shared" si="47"/>
        <v> </v>
      </c>
      <c r="AP40" s="105" t="str">
        <f t="shared" si="48"/>
        <v> </v>
      </c>
      <c r="AQ40" s="105" t="str">
        <f t="shared" si="49"/>
        <v> </v>
      </c>
      <c r="AR40" s="105" t="str">
        <f t="shared" si="50"/>
        <v> </v>
      </c>
      <c r="AS40" s="105" t="str">
        <f t="shared" si="51"/>
        <v> </v>
      </c>
      <c r="AT40" s="106" t="str">
        <f t="shared" si="52"/>
        <v> </v>
      </c>
      <c r="AU40" s="107" t="str">
        <f t="shared" si="53"/>
        <v> </v>
      </c>
      <c r="AV40" s="108">
        <f t="shared" si="54"/>
      </c>
      <c r="AW40" s="109" t="str">
        <f t="shared" si="55"/>
        <v> </v>
      </c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2:81" ht="24.75" customHeight="1">
      <c r="B41" s="10">
        <v>13</v>
      </c>
      <c r="C41" s="26" t="str">
        <f>Eingabe!$G$8</f>
        <v>Spieler 13</v>
      </c>
      <c r="D41" s="57" t="str">
        <f>'18 Spieler'!$Q$44</f>
        <v> </v>
      </c>
      <c r="E41" s="57" t="str">
        <f>'18 Spieler'!$W$15</f>
        <v> </v>
      </c>
      <c r="F41" s="57" t="str">
        <f>'18 Spieler'!$I$43</f>
        <v> </v>
      </c>
      <c r="G41" s="57" t="str">
        <f>'18 Spieler'!$O$16</f>
        <v> </v>
      </c>
      <c r="H41" s="57" t="str">
        <f>'18 Spieler'!$AO$29</f>
        <v> </v>
      </c>
      <c r="I41" s="57" t="str">
        <f>'18 Spieler'!$G$17</f>
        <v> </v>
      </c>
      <c r="J41" s="57" t="str">
        <f>'18 Spieler'!$AG$28</f>
        <v> </v>
      </c>
      <c r="K41" s="57" t="str">
        <f>'18 Spieler'!$O$57</f>
        <v> </v>
      </c>
      <c r="L41" s="57" t="str">
        <f>'18 Spieler'!$Y$27</f>
        <v> </v>
      </c>
      <c r="M41" s="57" t="str">
        <f>'18 Spieler'!$G$58</f>
        <v> </v>
      </c>
      <c r="N41" s="57" t="str">
        <f>'18 Spieler'!$Q$26</f>
        <v> </v>
      </c>
      <c r="O41" s="57" t="str">
        <f>'18 Spieler'!$AM$46</f>
        <v> </v>
      </c>
      <c r="P41" s="68"/>
      <c r="Q41" s="57" t="str">
        <f>'18 Spieler'!$AG$46</f>
        <v> </v>
      </c>
      <c r="R41" s="57" t="str">
        <f>'18 Spieler'!$AM$13</f>
        <v> </v>
      </c>
      <c r="S41" s="57" t="str">
        <f>'18 Spieler'!$Y$45</f>
        <v> </v>
      </c>
      <c r="T41" s="57" t="str">
        <f>'18 Spieler'!$AE$14</f>
        <v> </v>
      </c>
      <c r="U41" s="30" t="str">
        <f>'18 Spieler'!$G$25</f>
        <v> </v>
      </c>
      <c r="V41" s="79" t="str">
        <f t="shared" si="31"/>
        <v> </v>
      </c>
      <c r="W41" s="77">
        <f t="shared" si="32"/>
      </c>
      <c r="X41" s="61" t="str">
        <f>IF('Tabelle 18'!$C$5=C41,'Tabelle 18'!$R$5,"")&amp;IF('Tabelle 18'!$C$6=C41,'Tabelle 18'!$R$6,"")&amp;IF('Tabelle 18'!$C$7=C41,'Tabelle 18'!$R$7,"")&amp;IF('Tabelle 18'!$C$8=C41,'Tabelle 18'!$R$8,"")&amp;IF('Tabelle 18'!$C$9=C41,'Tabelle 18'!$R$9,"")&amp;IF('Tabelle 18'!$C$10=C41,'Tabelle 18'!$R$10,"")&amp;IF('Tabelle 18'!$C$11=C41,'Tabelle 18'!$R$11,"")&amp;IF('Tabelle 18'!$C$12=C41,'Tabelle 18'!$R$12,"")&amp;IF('Tabelle 18'!$C$13=C41,'Tabelle 18'!$R$13,"")&amp;IF('Tabelle 18'!$C$14=C41,'Tabelle 18'!$R$14,"")&amp;IF('Tabelle 18'!$C$15=C41,'Tabelle 18'!$R$15,"")&amp;IF('Tabelle 18'!$C$16=C41,'Tabelle 18'!$R$16,"")&amp;IF('Tabelle 18'!$C$17=C41,'Tabelle 18'!$R$17,"")&amp;IF('Tabelle 18'!$C$18=C41,'Tabelle 18'!$R$18,"")&amp;IF('Tabelle 18'!$C$19=C41,'Tabelle 18'!$R$19,"")&amp;IF('Tabelle 18'!$C$20=C41,'Tabelle 18'!$R$20,"")&amp;IF('Tabelle 18'!$C$21=C41,'Tabelle 18'!$R$21,"")&amp;IF('Tabelle 18'!$C$22=C41,'Tabelle 18'!$R$22,"")</f>
        <v> </v>
      </c>
      <c r="Y41" s="2"/>
      <c r="Z41" s="2"/>
      <c r="AA41" s="103">
        <f t="shared" si="33"/>
        <v>13</v>
      </c>
      <c r="AB41" s="104" t="str">
        <f t="shared" si="34"/>
        <v>Spieler 13</v>
      </c>
      <c r="AC41" s="105" t="str">
        <f t="shared" si="35"/>
        <v> </v>
      </c>
      <c r="AD41" s="105" t="str">
        <f t="shared" si="36"/>
        <v> </v>
      </c>
      <c r="AE41" s="105" t="str">
        <f t="shared" si="37"/>
        <v> </v>
      </c>
      <c r="AF41" s="105" t="str">
        <f t="shared" si="38"/>
        <v> </v>
      </c>
      <c r="AG41" s="105" t="str">
        <f t="shared" si="39"/>
        <v> </v>
      </c>
      <c r="AH41" s="105" t="str">
        <f t="shared" si="40"/>
        <v> </v>
      </c>
      <c r="AI41" s="105" t="str">
        <f t="shared" si="41"/>
        <v> </v>
      </c>
      <c r="AJ41" s="105" t="str">
        <f t="shared" si="42"/>
        <v> </v>
      </c>
      <c r="AK41" s="105" t="str">
        <f t="shared" si="43"/>
        <v> </v>
      </c>
      <c r="AL41" s="105" t="str">
        <f t="shared" si="44"/>
        <v> </v>
      </c>
      <c r="AM41" s="105" t="str">
        <f t="shared" si="45"/>
        <v> </v>
      </c>
      <c r="AN41" s="105" t="str">
        <f t="shared" si="46"/>
        <v> </v>
      </c>
      <c r="AO41" s="105" t="str">
        <f t="shared" si="47"/>
        <v> </v>
      </c>
      <c r="AP41" s="105" t="str">
        <f t="shared" si="48"/>
        <v> </v>
      </c>
      <c r="AQ41" s="105" t="str">
        <f t="shared" si="49"/>
        <v> </v>
      </c>
      <c r="AR41" s="105" t="str">
        <f t="shared" si="50"/>
        <v> </v>
      </c>
      <c r="AS41" s="105" t="str">
        <f t="shared" si="51"/>
        <v> </v>
      </c>
      <c r="AT41" s="106" t="str">
        <f t="shared" si="52"/>
        <v> </v>
      </c>
      <c r="AU41" s="107" t="str">
        <f t="shared" si="53"/>
        <v> </v>
      </c>
      <c r="AV41" s="108">
        <f t="shared" si="54"/>
      </c>
      <c r="AW41" s="109" t="str">
        <f t="shared" si="55"/>
        <v> </v>
      </c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2:81" ht="24.75" customHeight="1">
      <c r="B42" s="10">
        <v>14</v>
      </c>
      <c r="C42" s="26" t="str">
        <f>Eingabe!$G$9</f>
        <v>Spieler 14</v>
      </c>
      <c r="D42" s="57" t="str">
        <f>'18 Spieler'!$W$14</f>
        <v> </v>
      </c>
      <c r="E42" s="57" t="str">
        <f>'18 Spieler'!$I$44</f>
        <v> </v>
      </c>
      <c r="F42" s="57" t="str">
        <f>'18 Spieler'!$O$15</f>
        <v> </v>
      </c>
      <c r="G42" s="57" t="str">
        <f>'18 Spieler'!$AO$30</f>
        <v> </v>
      </c>
      <c r="H42" s="57" t="str">
        <f>'18 Spieler'!$G$16</f>
        <v> </v>
      </c>
      <c r="I42" s="57" t="str">
        <f>'18 Spieler'!$AG$29</f>
        <v> </v>
      </c>
      <c r="J42" s="57" t="str">
        <f>'18 Spieler'!$O$56</f>
        <v> </v>
      </c>
      <c r="K42" s="57" t="str">
        <f>'18 Spieler'!$Y$28</f>
        <v> </v>
      </c>
      <c r="L42" s="57" t="str">
        <f>'18 Spieler'!$G$57</f>
        <v> </v>
      </c>
      <c r="M42" s="57" t="str">
        <f>'18 Spieler'!$Q$27</f>
        <v> </v>
      </c>
      <c r="N42" s="57" t="str">
        <f>'18 Spieler'!$AM45</f>
        <v> </v>
      </c>
      <c r="O42" s="57" t="str">
        <f>'18 Spieler'!$I$26</f>
        <v> </v>
      </c>
      <c r="P42" s="57" t="str">
        <f>'18 Spieler'!$AE$46</f>
        <v> </v>
      </c>
      <c r="Q42" s="68"/>
      <c r="R42" s="57" t="str">
        <f>'18 Spieler'!$Y$46</f>
        <v> </v>
      </c>
      <c r="S42" s="57" t="str">
        <f>'18 Spieler'!$AE$13</f>
        <v> </v>
      </c>
      <c r="T42" s="57" t="str">
        <f>'18 Spieler'!$Q$45</f>
        <v> </v>
      </c>
      <c r="U42" s="30" t="str">
        <f>'18 Spieler'!$AM$12</f>
        <v> </v>
      </c>
      <c r="V42" s="79" t="str">
        <f t="shared" si="31"/>
        <v> </v>
      </c>
      <c r="W42" s="77">
        <f t="shared" si="32"/>
      </c>
      <c r="X42" s="61" t="str">
        <f>IF('Tabelle 18'!$C$5=C42,'Tabelle 18'!$R$5,"")&amp;IF('Tabelle 18'!$C$6=C42,'Tabelle 18'!$R$6,"")&amp;IF('Tabelle 18'!$C$7=C42,'Tabelle 18'!$R$7,"")&amp;IF('Tabelle 18'!$C$8=C42,'Tabelle 18'!$R$8,"")&amp;IF('Tabelle 18'!$C$9=C42,'Tabelle 18'!$R$9,"")&amp;IF('Tabelle 18'!$C$10=C42,'Tabelle 18'!$R$10,"")&amp;IF('Tabelle 18'!$C$11=C42,'Tabelle 18'!$R$11,"")&amp;IF('Tabelle 18'!$C$12=C42,'Tabelle 18'!$R$12,"")&amp;IF('Tabelle 18'!$C$13=C42,'Tabelle 18'!$R$13,"")&amp;IF('Tabelle 18'!$C$14=C42,'Tabelle 18'!$R$14,"")&amp;IF('Tabelle 18'!$C$15=C42,'Tabelle 18'!$R$15,"")&amp;IF('Tabelle 18'!$C$16=C42,'Tabelle 18'!$R$16,"")&amp;IF('Tabelle 18'!$C$17=C42,'Tabelle 18'!$R$17,"")&amp;IF('Tabelle 18'!$C$18=C42,'Tabelle 18'!$R$18,"")&amp;IF('Tabelle 18'!$C$19=C42,'Tabelle 18'!$R$19,"")&amp;IF('Tabelle 18'!$C$20=C42,'Tabelle 18'!$R$20,"")&amp;IF('Tabelle 18'!$C$21=C42,'Tabelle 18'!$R$21,"")&amp;IF('Tabelle 18'!$C$22=C42,'Tabelle 18'!$R$22,"")</f>
        <v> </v>
      </c>
      <c r="Y42" s="2"/>
      <c r="Z42" s="2"/>
      <c r="AA42" s="103">
        <f t="shared" si="33"/>
        <v>14</v>
      </c>
      <c r="AB42" s="104" t="str">
        <f t="shared" si="34"/>
        <v>Spieler 14</v>
      </c>
      <c r="AC42" s="105" t="str">
        <f t="shared" si="35"/>
        <v> </v>
      </c>
      <c r="AD42" s="105" t="str">
        <f t="shared" si="36"/>
        <v> </v>
      </c>
      <c r="AE42" s="105" t="str">
        <f t="shared" si="37"/>
        <v> </v>
      </c>
      <c r="AF42" s="105" t="str">
        <f t="shared" si="38"/>
        <v> </v>
      </c>
      <c r="AG42" s="105" t="str">
        <f t="shared" si="39"/>
        <v> </v>
      </c>
      <c r="AH42" s="105" t="str">
        <f t="shared" si="40"/>
        <v> </v>
      </c>
      <c r="AI42" s="105" t="str">
        <f t="shared" si="41"/>
        <v> </v>
      </c>
      <c r="AJ42" s="105" t="str">
        <f t="shared" si="42"/>
        <v> </v>
      </c>
      <c r="AK42" s="105" t="str">
        <f t="shared" si="43"/>
        <v> </v>
      </c>
      <c r="AL42" s="105" t="str">
        <f t="shared" si="44"/>
        <v> </v>
      </c>
      <c r="AM42" s="105" t="str">
        <f t="shared" si="45"/>
        <v> </v>
      </c>
      <c r="AN42" s="105" t="str">
        <f t="shared" si="46"/>
        <v> </v>
      </c>
      <c r="AO42" s="105" t="str">
        <f t="shared" si="47"/>
        <v> </v>
      </c>
      <c r="AP42" s="105" t="str">
        <f t="shared" si="48"/>
        <v> </v>
      </c>
      <c r="AQ42" s="105" t="str">
        <f t="shared" si="49"/>
        <v> </v>
      </c>
      <c r="AR42" s="105" t="str">
        <f t="shared" si="50"/>
        <v> </v>
      </c>
      <c r="AS42" s="105" t="str">
        <f t="shared" si="51"/>
        <v> </v>
      </c>
      <c r="AT42" s="106" t="str">
        <f t="shared" si="52"/>
        <v> </v>
      </c>
      <c r="AU42" s="107" t="str">
        <f t="shared" si="53"/>
        <v> </v>
      </c>
      <c r="AV42" s="108">
        <f t="shared" si="54"/>
      </c>
      <c r="AW42" s="109" t="str">
        <f t="shared" si="55"/>
        <v> </v>
      </c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2:81" ht="24.75" customHeight="1">
      <c r="B43" s="10">
        <v>15</v>
      </c>
      <c r="C43" s="26" t="str">
        <f>Eingabe!$G$10</f>
        <v>Spieler 15</v>
      </c>
      <c r="D43" s="57" t="str">
        <f>'18 Spieler'!$I$45</f>
        <v> </v>
      </c>
      <c r="E43" s="57" t="str">
        <f>'18 Spieler'!$O$14</f>
        <v> </v>
      </c>
      <c r="F43" s="57" t="str">
        <f>'18 Spieler'!$AO$31</f>
        <v> </v>
      </c>
      <c r="G43" s="57" t="str">
        <f>'18 Spieler'!$G$15</f>
        <v> </v>
      </c>
      <c r="H43" s="57" t="str">
        <f>'18 Spieler'!$AG$30</f>
        <v> </v>
      </c>
      <c r="I43" s="57" t="str">
        <f>'18 Spieler'!$O$55</f>
        <v> </v>
      </c>
      <c r="J43" s="57" t="str">
        <f>'18 Spieler'!$Y$29</f>
        <v> </v>
      </c>
      <c r="K43" s="57" t="str">
        <f>'18 Spieler'!$G$56</f>
        <v> </v>
      </c>
      <c r="L43" s="57" t="str">
        <f>'18 Spieler'!$Q$28</f>
        <v> </v>
      </c>
      <c r="M43" s="57" t="str">
        <f>'18 Spieler'!$AM$44</f>
        <v> </v>
      </c>
      <c r="N43" s="57" t="str">
        <f>'18 Spieler'!$I$27</f>
        <v> </v>
      </c>
      <c r="O43" s="57" t="str">
        <f>'18 Spieler'!$AE$45</f>
        <v> </v>
      </c>
      <c r="P43" s="57" t="str">
        <f>'18 Spieler'!$AO$13</f>
        <v> </v>
      </c>
      <c r="Q43" s="57" t="str">
        <f>'18 Spieler'!$W$46</f>
        <v> </v>
      </c>
      <c r="R43" s="68"/>
      <c r="S43" s="57" t="str">
        <f>'18 Spieler'!$Q$46</f>
        <v> </v>
      </c>
      <c r="T43" s="57" t="str">
        <f>'18 Spieler'!$W$13</f>
        <v> </v>
      </c>
      <c r="U43" s="30" t="str">
        <f>'18 Spieler'!$AE$12</f>
        <v> </v>
      </c>
      <c r="V43" s="79" t="str">
        <f t="shared" si="31"/>
        <v> </v>
      </c>
      <c r="W43" s="77">
        <f t="shared" si="32"/>
      </c>
      <c r="X43" s="61" t="str">
        <f>IF('Tabelle 18'!$C$5=C43,'Tabelle 18'!$R$5,"")&amp;IF('Tabelle 18'!$C$6=C43,'Tabelle 18'!$R$6,"")&amp;IF('Tabelle 18'!$C$7=C43,'Tabelle 18'!$R$7,"")&amp;IF('Tabelle 18'!$C$8=C43,'Tabelle 18'!$R$8,"")&amp;IF('Tabelle 18'!$C$9=C43,'Tabelle 18'!$R$9,"")&amp;IF('Tabelle 18'!$C$10=C43,'Tabelle 18'!$R$10,"")&amp;IF('Tabelle 18'!$C$11=C43,'Tabelle 18'!$R$11,"")&amp;IF('Tabelle 18'!$C$12=C43,'Tabelle 18'!$R$12,"")&amp;IF('Tabelle 18'!$C$13=C43,'Tabelle 18'!$R$13,"")&amp;IF('Tabelle 18'!$C$14=C43,'Tabelle 18'!$R$14,"")&amp;IF('Tabelle 18'!$C$15=C43,'Tabelle 18'!$R$15,"")&amp;IF('Tabelle 18'!$C$16=C43,'Tabelle 18'!$R$16,"")&amp;IF('Tabelle 18'!$C$17=C43,'Tabelle 18'!$R$17,"")&amp;IF('Tabelle 18'!$C$18=C43,'Tabelle 18'!$R$18,"")&amp;IF('Tabelle 18'!$C$19=C43,'Tabelle 18'!$R$19,"")&amp;IF('Tabelle 18'!$C$20=C43,'Tabelle 18'!$R$20,"")&amp;IF('Tabelle 18'!$C$21=C43,'Tabelle 18'!$R$21,"")&amp;IF('Tabelle 18'!$C$22=C43,'Tabelle 18'!$R$22,"")</f>
        <v> </v>
      </c>
      <c r="Y43" s="2"/>
      <c r="Z43" s="2"/>
      <c r="AA43" s="103">
        <f t="shared" si="33"/>
        <v>15</v>
      </c>
      <c r="AB43" s="104" t="str">
        <f t="shared" si="34"/>
        <v>Spieler 15</v>
      </c>
      <c r="AC43" s="105" t="str">
        <f t="shared" si="35"/>
        <v> </v>
      </c>
      <c r="AD43" s="105" t="str">
        <f t="shared" si="36"/>
        <v> </v>
      </c>
      <c r="AE43" s="105" t="str">
        <f t="shared" si="37"/>
        <v> </v>
      </c>
      <c r="AF43" s="105" t="str">
        <f t="shared" si="38"/>
        <v> </v>
      </c>
      <c r="AG43" s="105" t="str">
        <f t="shared" si="39"/>
        <v> </v>
      </c>
      <c r="AH43" s="105" t="str">
        <f t="shared" si="40"/>
        <v> </v>
      </c>
      <c r="AI43" s="105" t="str">
        <f t="shared" si="41"/>
        <v> </v>
      </c>
      <c r="AJ43" s="105" t="str">
        <f t="shared" si="42"/>
        <v> </v>
      </c>
      <c r="AK43" s="105" t="str">
        <f t="shared" si="43"/>
        <v> </v>
      </c>
      <c r="AL43" s="105" t="str">
        <f t="shared" si="44"/>
        <v> </v>
      </c>
      <c r="AM43" s="105" t="str">
        <f t="shared" si="45"/>
        <v> </v>
      </c>
      <c r="AN43" s="105" t="str">
        <f t="shared" si="46"/>
        <v> </v>
      </c>
      <c r="AO43" s="105" t="str">
        <f t="shared" si="47"/>
        <v> </v>
      </c>
      <c r="AP43" s="105" t="str">
        <f t="shared" si="48"/>
        <v> </v>
      </c>
      <c r="AQ43" s="105" t="str">
        <f t="shared" si="49"/>
        <v> </v>
      </c>
      <c r="AR43" s="105" t="str">
        <f t="shared" si="50"/>
        <v> </v>
      </c>
      <c r="AS43" s="105" t="str">
        <f t="shared" si="51"/>
        <v> </v>
      </c>
      <c r="AT43" s="106" t="str">
        <f t="shared" si="52"/>
        <v> </v>
      </c>
      <c r="AU43" s="107" t="str">
        <f t="shared" si="53"/>
        <v> </v>
      </c>
      <c r="AV43" s="108">
        <f t="shared" si="54"/>
      </c>
      <c r="AW43" s="109" t="str">
        <f t="shared" si="55"/>
        <v> </v>
      </c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2:81" ht="24.75" customHeight="1">
      <c r="B44" s="10">
        <v>16</v>
      </c>
      <c r="C44" s="26" t="str">
        <f>Eingabe!$G$11</f>
        <v>Spieler 16</v>
      </c>
      <c r="D44" s="57" t="str">
        <f>'18 Spieler'!$O$13</f>
        <v> </v>
      </c>
      <c r="E44" s="57" t="str">
        <f>'18 Spieler'!$AO$32</f>
        <v> </v>
      </c>
      <c r="F44" s="57" t="str">
        <f>'18 Spieler'!$G$14</f>
        <v> </v>
      </c>
      <c r="G44" s="57" t="str">
        <f>'18 Spieler'!$AG$31</f>
        <v> </v>
      </c>
      <c r="H44" s="57" t="str">
        <f>'18 Spieler'!$O$54</f>
        <v> </v>
      </c>
      <c r="I44" s="57" t="str">
        <f>'18 Spieler'!$Y$30</f>
        <v> </v>
      </c>
      <c r="J44" s="57" t="str">
        <f>'18 Spieler'!$G$55</f>
        <v> </v>
      </c>
      <c r="K44" s="57" t="str">
        <f>'18 Spieler'!$Q$29</f>
        <v> </v>
      </c>
      <c r="L44" s="57" t="str">
        <f>'18 Spieler'!$AM$43</f>
        <v> </v>
      </c>
      <c r="M44" s="57" t="str">
        <f>'18 Spieler'!$I$28</f>
        <v> </v>
      </c>
      <c r="N44" s="57" t="str">
        <f>'18 Spieler'!$AE$44</f>
        <v> </v>
      </c>
      <c r="O44" s="57" t="str">
        <f>'18 Spieler'!$AO$14</f>
        <v> </v>
      </c>
      <c r="P44" s="57" t="str">
        <f>'18 Spieler'!$W$45</f>
        <v> </v>
      </c>
      <c r="Q44" s="57" t="str">
        <f>'18 Spieler'!$AG$13</f>
        <v> </v>
      </c>
      <c r="R44" s="57" t="str">
        <f>'18 Spieler'!$O$46</f>
        <v> </v>
      </c>
      <c r="S44" s="68"/>
      <c r="T44" s="57" t="str">
        <f>'18 Spieler'!$I$46</f>
        <v> </v>
      </c>
      <c r="U44" s="30" t="str">
        <f>'18 Spieler'!$W$12</f>
        <v> </v>
      </c>
      <c r="V44" s="79" t="str">
        <f t="shared" si="31"/>
        <v> </v>
      </c>
      <c r="W44" s="77">
        <f t="shared" si="32"/>
      </c>
      <c r="X44" s="61" t="str">
        <f>IF('Tabelle 18'!$C$5=C44,'Tabelle 18'!$R$5,"")&amp;IF('Tabelle 18'!$C$6=C44,'Tabelle 18'!$R$6,"")&amp;IF('Tabelle 18'!$C$7=C44,'Tabelle 18'!$R$7,"")&amp;IF('Tabelle 18'!$C$8=C44,'Tabelle 18'!$R$8,"")&amp;IF('Tabelle 18'!$C$9=C44,'Tabelle 18'!$R$9,"")&amp;IF('Tabelle 18'!$C$10=C44,'Tabelle 18'!$R$10,"")&amp;IF('Tabelle 18'!$C$11=C44,'Tabelle 18'!$R$11,"")&amp;IF('Tabelle 18'!$C$12=C44,'Tabelle 18'!$R$12,"")&amp;IF('Tabelle 18'!$C$13=C44,'Tabelle 18'!$R$13,"")&amp;IF('Tabelle 18'!$C$14=C44,'Tabelle 18'!$R$14,"")&amp;IF('Tabelle 18'!$C$15=C44,'Tabelle 18'!$R$15,"")&amp;IF('Tabelle 18'!$C$16=C44,'Tabelle 18'!$R$16,"")&amp;IF('Tabelle 18'!$C$17=C44,'Tabelle 18'!$R$17,"")&amp;IF('Tabelle 18'!$C$18=C44,'Tabelle 18'!$R$18,"")&amp;IF('Tabelle 18'!$C$19=C44,'Tabelle 18'!$R$19,"")&amp;IF('Tabelle 18'!$C$20=C44,'Tabelle 18'!$R$20,"")&amp;IF('Tabelle 18'!$C$21=C44,'Tabelle 18'!$R$21,"")&amp;IF('Tabelle 18'!$C$22=C44,'Tabelle 18'!$R$22,"")</f>
        <v> </v>
      </c>
      <c r="Y44" s="2"/>
      <c r="Z44" s="2"/>
      <c r="AA44" s="103">
        <f t="shared" si="33"/>
        <v>16</v>
      </c>
      <c r="AB44" s="104" t="str">
        <f t="shared" si="34"/>
        <v>Spieler 16</v>
      </c>
      <c r="AC44" s="105" t="str">
        <f t="shared" si="35"/>
        <v> </v>
      </c>
      <c r="AD44" s="105" t="str">
        <f t="shared" si="36"/>
        <v> </v>
      </c>
      <c r="AE44" s="105" t="str">
        <f t="shared" si="37"/>
        <v> </v>
      </c>
      <c r="AF44" s="105" t="str">
        <f t="shared" si="38"/>
        <v> </v>
      </c>
      <c r="AG44" s="105" t="str">
        <f t="shared" si="39"/>
        <v> </v>
      </c>
      <c r="AH44" s="105" t="str">
        <f t="shared" si="40"/>
        <v> </v>
      </c>
      <c r="AI44" s="105" t="str">
        <f t="shared" si="41"/>
        <v> </v>
      </c>
      <c r="AJ44" s="105" t="str">
        <f t="shared" si="42"/>
        <v> </v>
      </c>
      <c r="AK44" s="105" t="str">
        <f t="shared" si="43"/>
        <v> </v>
      </c>
      <c r="AL44" s="105" t="str">
        <f t="shared" si="44"/>
        <v> </v>
      </c>
      <c r="AM44" s="105" t="str">
        <f t="shared" si="45"/>
        <v> </v>
      </c>
      <c r="AN44" s="105" t="str">
        <f t="shared" si="46"/>
        <v> </v>
      </c>
      <c r="AO44" s="105" t="str">
        <f t="shared" si="47"/>
        <v> </v>
      </c>
      <c r="AP44" s="105" t="str">
        <f t="shared" si="48"/>
        <v> </v>
      </c>
      <c r="AQ44" s="105" t="str">
        <f t="shared" si="49"/>
        <v> </v>
      </c>
      <c r="AR44" s="105" t="str">
        <f t="shared" si="50"/>
        <v> </v>
      </c>
      <c r="AS44" s="105" t="str">
        <f t="shared" si="51"/>
        <v> </v>
      </c>
      <c r="AT44" s="106" t="str">
        <f t="shared" si="52"/>
        <v> </v>
      </c>
      <c r="AU44" s="107" t="str">
        <f t="shared" si="53"/>
        <v> </v>
      </c>
      <c r="AV44" s="108">
        <f t="shared" si="54"/>
      </c>
      <c r="AW44" s="109" t="str">
        <f t="shared" si="55"/>
        <v> </v>
      </c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2:81" ht="24.75" customHeight="1">
      <c r="B45" s="10">
        <v>17</v>
      </c>
      <c r="C45" s="26" t="str">
        <f>Eingabe!$G$12</f>
        <v>Spieler 17</v>
      </c>
      <c r="D45" s="57" t="str">
        <f>'18 Spieler'!$AO$33</f>
        <v> </v>
      </c>
      <c r="E45" s="57" t="str">
        <f>'18 Spieler'!$G$13</f>
        <v> </v>
      </c>
      <c r="F45" s="57" t="str">
        <f>'18 Spieler'!$AG$32</f>
        <v> </v>
      </c>
      <c r="G45" s="57" t="str">
        <f>'18 Spieler'!$O$53</f>
        <v> </v>
      </c>
      <c r="H45" s="57" t="str">
        <f>'18 Spieler'!$Y$31</f>
        <v> </v>
      </c>
      <c r="I45" s="57" t="str">
        <f>'18 Spieler'!$G$54</f>
        <v> </v>
      </c>
      <c r="J45" s="57" t="str">
        <f>'18 Spieler'!$Q$30</f>
        <v> </v>
      </c>
      <c r="K45" s="57" t="str">
        <f>'18 Spieler'!$AM$42</f>
        <v> </v>
      </c>
      <c r="L45" s="57" t="str">
        <f>'18 Spieler'!$I$29</f>
        <v> </v>
      </c>
      <c r="M45" s="57" t="str">
        <f>'18 Spieler'!$AE$43</f>
        <v> </v>
      </c>
      <c r="N45" s="57" t="str">
        <f>'18 Spieler'!$AO$15</f>
        <v> </v>
      </c>
      <c r="O45" s="57" t="str">
        <f>'18 Spieler'!$W$44</f>
        <v> </v>
      </c>
      <c r="P45" s="57" t="str">
        <f>'18 Spieler'!$AG$14</f>
        <v> </v>
      </c>
      <c r="Q45" s="57" t="str">
        <f>'18 Spieler'!$O$45</f>
        <v> </v>
      </c>
      <c r="R45" s="57" t="str">
        <f>'18 Spieler'!$Y$13</f>
        <v> </v>
      </c>
      <c r="S45" s="57" t="str">
        <f>'18 Spieler'!$G$46</f>
        <v> </v>
      </c>
      <c r="T45" s="68"/>
      <c r="U45" s="30" t="str">
        <f>'18 Spieler'!$O$12</f>
        <v> </v>
      </c>
      <c r="V45" s="79" t="str">
        <f t="shared" si="31"/>
        <v> </v>
      </c>
      <c r="W45" s="77">
        <f t="shared" si="32"/>
      </c>
      <c r="X45" s="61" t="str">
        <f>IF('Tabelle 18'!$C$5=C45,'Tabelle 18'!$R$5,"")&amp;IF('Tabelle 18'!$C$6=C45,'Tabelle 18'!$R$6,"")&amp;IF('Tabelle 18'!$C$7=C45,'Tabelle 18'!$R$7,"")&amp;IF('Tabelle 18'!$C$8=C45,'Tabelle 18'!$R$8,"")&amp;IF('Tabelle 18'!$C$9=C45,'Tabelle 18'!$R$9,"")&amp;IF('Tabelle 18'!$C$10=C45,'Tabelle 18'!$R$10,"")&amp;IF('Tabelle 18'!$C$11=C45,'Tabelle 18'!$R$11,"")&amp;IF('Tabelle 18'!$C$12=C45,'Tabelle 18'!$R$12,"")&amp;IF('Tabelle 18'!$C$13=C45,'Tabelle 18'!$R$13,"")&amp;IF('Tabelle 18'!$C$14=C45,'Tabelle 18'!$R$14,"")&amp;IF('Tabelle 18'!$C$15=C45,'Tabelle 18'!$R$15,"")&amp;IF('Tabelle 18'!$C$16=C45,'Tabelle 18'!$R$16,"")&amp;IF('Tabelle 18'!$C$17=C45,'Tabelle 18'!$R$17,"")&amp;IF('Tabelle 18'!$C$18=C45,'Tabelle 18'!$R$18,"")&amp;IF('Tabelle 18'!$C$19=C45,'Tabelle 18'!$R$19,"")&amp;IF('Tabelle 18'!$C$20=C45,'Tabelle 18'!$R$20,"")&amp;IF('Tabelle 18'!$C$21=C45,'Tabelle 18'!$R$21,"")&amp;IF('Tabelle 18'!$C$22=C45,'Tabelle 18'!$R$22,"")</f>
        <v> </v>
      </c>
      <c r="Y45" s="2"/>
      <c r="Z45" s="2"/>
      <c r="AA45" s="103">
        <f t="shared" si="33"/>
        <v>17</v>
      </c>
      <c r="AB45" s="104" t="str">
        <f t="shared" si="34"/>
        <v>Spieler 17</v>
      </c>
      <c r="AC45" s="105" t="str">
        <f t="shared" si="35"/>
        <v> </v>
      </c>
      <c r="AD45" s="105" t="str">
        <f t="shared" si="36"/>
        <v> </v>
      </c>
      <c r="AE45" s="105" t="str">
        <f t="shared" si="37"/>
        <v> </v>
      </c>
      <c r="AF45" s="105" t="str">
        <f t="shared" si="38"/>
        <v> </v>
      </c>
      <c r="AG45" s="105" t="str">
        <f t="shared" si="39"/>
        <v> </v>
      </c>
      <c r="AH45" s="105" t="str">
        <f t="shared" si="40"/>
        <v> </v>
      </c>
      <c r="AI45" s="105" t="str">
        <f t="shared" si="41"/>
        <v> </v>
      </c>
      <c r="AJ45" s="105" t="str">
        <f t="shared" si="42"/>
        <v> </v>
      </c>
      <c r="AK45" s="105" t="str">
        <f t="shared" si="43"/>
        <v> </v>
      </c>
      <c r="AL45" s="105" t="str">
        <f t="shared" si="44"/>
        <v> </v>
      </c>
      <c r="AM45" s="105" t="str">
        <f t="shared" si="45"/>
        <v> </v>
      </c>
      <c r="AN45" s="105" t="str">
        <f t="shared" si="46"/>
        <v> </v>
      </c>
      <c r="AO45" s="105" t="str">
        <f t="shared" si="47"/>
        <v> </v>
      </c>
      <c r="AP45" s="105" t="str">
        <f t="shared" si="48"/>
        <v> </v>
      </c>
      <c r="AQ45" s="105" t="str">
        <f t="shared" si="49"/>
        <v> </v>
      </c>
      <c r="AR45" s="105" t="str">
        <f t="shared" si="50"/>
        <v> </v>
      </c>
      <c r="AS45" s="105" t="str">
        <f t="shared" si="51"/>
        <v> </v>
      </c>
      <c r="AT45" s="106" t="str">
        <f t="shared" si="52"/>
        <v> </v>
      </c>
      <c r="AU45" s="107" t="str">
        <f t="shared" si="53"/>
        <v> </v>
      </c>
      <c r="AV45" s="108">
        <f t="shared" si="54"/>
      </c>
      <c r="AW45" s="109" t="str">
        <f t="shared" si="55"/>
        <v> </v>
      </c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</row>
    <row r="46" spans="2:81" ht="24.75" customHeight="1" thickBot="1">
      <c r="B46" s="25">
        <v>18</v>
      </c>
      <c r="C46" s="27" t="str">
        <f>Eingabe!$G$13</f>
        <v>Spieler 18 / spielfrei</v>
      </c>
      <c r="D46" s="58" t="str">
        <f>'18 Spieler'!$I$12</f>
        <v> </v>
      </c>
      <c r="E46" s="58" t="str">
        <f>'18 Spieler'!$Q$51</f>
        <v> </v>
      </c>
      <c r="F46" s="58" t="str">
        <f>'18 Spieler'!$I$51</f>
        <v> </v>
      </c>
      <c r="G46" s="58" t="str">
        <f>'18 Spieler'!$AO$38</f>
        <v> </v>
      </c>
      <c r="H46" s="58" t="str">
        <f>'18 Spieler'!$AG$38</f>
        <v> </v>
      </c>
      <c r="I46" s="58" t="str">
        <f>'18 Spieler'!$Y$38</f>
        <v> </v>
      </c>
      <c r="J46" s="58" t="str">
        <f>'18 Spieler'!$Q$38</f>
        <v> </v>
      </c>
      <c r="K46" s="58" t="str">
        <f>'18 Spieler'!$I$38</f>
        <v> </v>
      </c>
      <c r="L46" s="58" t="str">
        <f>'18 Spieler'!$AO$25</f>
        <v> </v>
      </c>
      <c r="M46" s="58" t="str">
        <f>'18 Spieler'!$AG$25</f>
        <v> </v>
      </c>
      <c r="N46" s="58" t="str">
        <f>'18 Spieler'!$Y$25</f>
        <v> </v>
      </c>
      <c r="O46" s="58" t="str">
        <f>'18 Spieler'!$Q$25</f>
        <v> </v>
      </c>
      <c r="P46" s="58" t="str">
        <f>'18 Spieler'!$I$25</f>
        <v> </v>
      </c>
      <c r="Q46" s="58" t="str">
        <f>'18 Spieler'!$AO$12</f>
        <v> </v>
      </c>
      <c r="R46" s="58" t="str">
        <f>'18 Spieler'!$AG$12</f>
        <v> </v>
      </c>
      <c r="S46" s="58" t="str">
        <f>'18 Spieler'!$Y$12</f>
        <v> </v>
      </c>
      <c r="T46" s="58" t="str">
        <f>'18 Spieler'!$Q$12</f>
        <v> </v>
      </c>
      <c r="U46" s="69"/>
      <c r="V46" s="80" t="str">
        <f>IF($C$46="spielfrei",-0.001,IF(COUNT($D$46,$E$45,$F$44,$G$43,$H$42,$I$41,$J$40,$K$39,$L$38,$M$37,$N$36,$O$35,$P$34,$Q$33,$R$32,$S$31,$T$30,$U$29)&gt;0,SUM(D46:U46)," "))</f>
        <v> </v>
      </c>
      <c r="W46" s="78">
        <f t="shared" si="32"/>
      </c>
      <c r="X46" s="62" t="str">
        <f>IF('Tabelle 18'!$C$5=C46,'Tabelle 18'!$R$5,"")&amp;IF('Tabelle 18'!$C$6=C46,'Tabelle 18'!$R$6,"")&amp;IF('Tabelle 18'!$C$7=C46,'Tabelle 18'!$R$7,"")&amp;IF('Tabelle 18'!$C$8=C46,'Tabelle 18'!$R$8,"")&amp;IF('Tabelle 18'!$C$9=C46,'Tabelle 18'!$R$9,"")&amp;IF('Tabelle 18'!$C$10=C46,'Tabelle 18'!$R$10,"")&amp;IF('Tabelle 18'!$C$11=C46,'Tabelle 18'!$R$11,"")&amp;IF('Tabelle 18'!$C$12=C46,'Tabelle 18'!$R$12,"")&amp;IF('Tabelle 18'!$C$13=C46,'Tabelle 18'!$R$13,"")&amp;IF('Tabelle 18'!$C$14=C46,'Tabelle 18'!$R$14,"")&amp;IF('Tabelle 18'!$C$15=C46,'Tabelle 18'!$R$15,"")&amp;IF('Tabelle 18'!$C$16=C46,'Tabelle 18'!$R$16,"")&amp;IF('Tabelle 18'!$C$17=C46,'Tabelle 18'!$R$17,"")&amp;IF('Tabelle 18'!$C$18=C46,'Tabelle 18'!$R$18,"")&amp;IF('Tabelle 18'!$C$19=C46,'Tabelle 18'!$R$19,"")&amp;IF('Tabelle 18'!$C$20=C46,'Tabelle 18'!$R$20,"")&amp;IF('Tabelle 18'!$C$21=C46,'Tabelle 18'!$R$21,"")&amp;IF('Tabelle 18'!$C$22=C46,'Tabelle 18'!$R$22,"")</f>
        <v> </v>
      </c>
      <c r="Y46" s="2"/>
      <c r="Z46" s="2"/>
      <c r="AA46" s="110">
        <f t="shared" si="33"/>
        <v>18</v>
      </c>
      <c r="AB46" s="111" t="str">
        <f t="shared" si="34"/>
        <v>Spieler 18 / spielfrei</v>
      </c>
      <c r="AC46" s="112" t="str">
        <f t="shared" si="35"/>
        <v> </v>
      </c>
      <c r="AD46" s="112" t="str">
        <f t="shared" si="36"/>
        <v> </v>
      </c>
      <c r="AE46" s="112" t="str">
        <f t="shared" si="37"/>
        <v> </v>
      </c>
      <c r="AF46" s="112" t="str">
        <f t="shared" si="38"/>
        <v> </v>
      </c>
      <c r="AG46" s="112" t="str">
        <f t="shared" si="39"/>
        <v> </v>
      </c>
      <c r="AH46" s="112" t="str">
        <f t="shared" si="40"/>
        <v> </v>
      </c>
      <c r="AI46" s="112" t="str">
        <f t="shared" si="41"/>
        <v> </v>
      </c>
      <c r="AJ46" s="112" t="str">
        <f t="shared" si="42"/>
        <v> </v>
      </c>
      <c r="AK46" s="112" t="str">
        <f t="shared" si="43"/>
        <v> </v>
      </c>
      <c r="AL46" s="112" t="str">
        <f t="shared" si="44"/>
        <v> </v>
      </c>
      <c r="AM46" s="112" t="str">
        <f t="shared" si="45"/>
        <v> </v>
      </c>
      <c r="AN46" s="112" t="str">
        <f t="shared" si="46"/>
        <v> </v>
      </c>
      <c r="AO46" s="112" t="str">
        <f t="shared" si="47"/>
        <v> </v>
      </c>
      <c r="AP46" s="112" t="str">
        <f t="shared" si="48"/>
        <v> </v>
      </c>
      <c r="AQ46" s="112" t="str">
        <f t="shared" si="49"/>
        <v> </v>
      </c>
      <c r="AR46" s="112" t="str">
        <f t="shared" si="50"/>
        <v> </v>
      </c>
      <c r="AS46" s="112" t="str">
        <f t="shared" si="51"/>
        <v> </v>
      </c>
      <c r="AT46" s="113" t="str">
        <f t="shared" si="52"/>
        <v> </v>
      </c>
      <c r="AU46" s="114" t="str">
        <f t="shared" si="53"/>
        <v> </v>
      </c>
      <c r="AV46" s="115">
        <f t="shared" si="54"/>
      </c>
      <c r="AW46" s="116" t="str">
        <f t="shared" si="55"/>
        <v> </v>
      </c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9" spans="29:46" ht="12.75">
      <c r="AC49" s="1" t="str">
        <f>IF(AC50=1,"AC","")&amp;IF(AC50=2,"AD","")&amp;IF(AC50=3,"AE","")&amp;IF(AC50=4,"AF","")&amp;IF(AC50=5,"AG","")&amp;IF(AC50=6,"AH","")&amp;IF(AC50=7,"AI","")&amp;IF(AC50=8,"AJ","")&amp;IF(AC50=9,"AK","")&amp;IF(AC50=10,"AL","")&amp;IF(AC50=11,"AM","")&amp;IF(AC50=12,"AN","")&amp;IF(AC50=13,"AO","")&amp;IF(AC50=14,"AP","")&amp;IF(AC50=15,"AQ","")&amp;IF(AC50=16,"AR","")&amp;IF(AC50=17,"AS","")&amp;IF(AC50=18,"AT","")</f>
        <v>AC</v>
      </c>
      <c r="AD49" s="1" t="str">
        <f aca="true" t="shared" si="56" ref="AD49:AT49">IF(AD50=1,"AC","")&amp;IF(AD50=2,"AD","")&amp;IF(AD50=3,"AE","")&amp;IF(AD50=4,"AF","")&amp;IF(AD50=5,"AG","")&amp;IF(AD50=6,"AH","")&amp;IF(AD50=7,"AI","")&amp;IF(AD50=8,"AJ","")&amp;IF(AD50=9,"AK","")&amp;IF(AD50=10,"AL","")&amp;IF(AD50=11,"AM","")&amp;IF(AD50=12,"AN","")&amp;IF(AD50=13,"AO","")&amp;IF(AD50=14,"AP","")&amp;IF(AD50=15,"AQ","")&amp;IF(AD50=16,"AR","")&amp;IF(AD50=17,"AS","")&amp;IF(AD50=18,"AT","")</f>
        <v>AD</v>
      </c>
      <c r="AE49" s="1" t="str">
        <f t="shared" si="56"/>
        <v>AE</v>
      </c>
      <c r="AF49" s="1" t="str">
        <f t="shared" si="56"/>
        <v>AF</v>
      </c>
      <c r="AG49" s="1" t="str">
        <f t="shared" si="56"/>
        <v>AG</v>
      </c>
      <c r="AH49" s="1" t="str">
        <f t="shared" si="56"/>
        <v>AH</v>
      </c>
      <c r="AI49" s="1" t="str">
        <f t="shared" si="56"/>
        <v>AI</v>
      </c>
      <c r="AJ49" s="1" t="str">
        <f t="shared" si="56"/>
        <v>AJ</v>
      </c>
      <c r="AK49" s="1" t="str">
        <f t="shared" si="56"/>
        <v>AK</v>
      </c>
      <c r="AL49" s="1" t="str">
        <f t="shared" si="56"/>
        <v>AL</v>
      </c>
      <c r="AM49" s="1" t="str">
        <f t="shared" si="56"/>
        <v>AM</v>
      </c>
      <c r="AN49" s="1" t="str">
        <f t="shared" si="56"/>
        <v>AN</v>
      </c>
      <c r="AO49" s="1" t="str">
        <f t="shared" si="56"/>
        <v>AO</v>
      </c>
      <c r="AP49" s="1" t="str">
        <f t="shared" si="56"/>
        <v>AP</v>
      </c>
      <c r="AQ49" s="1" t="str">
        <f t="shared" si="56"/>
        <v>AQ</v>
      </c>
      <c r="AR49" s="1" t="str">
        <f t="shared" si="56"/>
        <v>AR</v>
      </c>
      <c r="AS49" s="1" t="str">
        <f t="shared" si="56"/>
        <v>AS</v>
      </c>
      <c r="AT49" s="1" t="str">
        <f t="shared" si="56"/>
        <v>AT</v>
      </c>
    </row>
    <row r="50" spans="29:46" ht="12.75">
      <c r="AC50" s="1">
        <f>$AA$29</f>
        <v>1</v>
      </c>
      <c r="AD50" s="1">
        <f>$AA$30</f>
        <v>2</v>
      </c>
      <c r="AE50" s="1">
        <f>$AA$31</f>
        <v>3</v>
      </c>
      <c r="AF50" s="1">
        <f>$AA$32</f>
        <v>4</v>
      </c>
      <c r="AG50" s="1">
        <f>$AA$33</f>
        <v>5</v>
      </c>
      <c r="AH50" s="1">
        <f>$AA$34</f>
        <v>6</v>
      </c>
      <c r="AI50" s="1">
        <f>$AA$35</f>
        <v>7</v>
      </c>
      <c r="AJ50" s="1">
        <f>$AA$36</f>
        <v>8</v>
      </c>
      <c r="AK50" s="1">
        <f>$AA$37</f>
        <v>9</v>
      </c>
      <c r="AL50" s="1">
        <f>$AA$38</f>
        <v>10</v>
      </c>
      <c r="AM50" s="1">
        <f>$AA$39</f>
        <v>11</v>
      </c>
      <c r="AN50" s="1">
        <f>$AA$40</f>
        <v>12</v>
      </c>
      <c r="AO50" s="1">
        <f>$AA$41</f>
        <v>13</v>
      </c>
      <c r="AP50" s="1">
        <f>$AA$42</f>
        <v>14</v>
      </c>
      <c r="AQ50" s="1">
        <f>$AA$43</f>
        <v>15</v>
      </c>
      <c r="AR50" s="1">
        <f>$AA$44</f>
        <v>16</v>
      </c>
      <c r="AS50" s="1">
        <f>$AA$45</f>
        <v>17</v>
      </c>
      <c r="AT50" s="1">
        <f>$AA$46</f>
        <v>18</v>
      </c>
    </row>
    <row r="51" spans="28:46" ht="12.75">
      <c r="AB51">
        <v>29</v>
      </c>
      <c r="AC51" t="str">
        <f ca="1" t="shared" si="57" ref="AC51:AC67">INDIRECT(AC$49&amp;$AB51)</f>
        <v> </v>
      </c>
      <c r="AD51" t="str">
        <f ca="1" t="shared" si="58" ref="AD51:AS66">INDIRECT(AD$49&amp;$AB51)</f>
        <v> </v>
      </c>
      <c r="AE51" t="str">
        <f ca="1" t="shared" si="58"/>
        <v> </v>
      </c>
      <c r="AF51" t="str">
        <f ca="1" t="shared" si="58"/>
        <v> </v>
      </c>
      <c r="AG51" t="str">
        <f ca="1" t="shared" si="58"/>
        <v> </v>
      </c>
      <c r="AH51" t="str">
        <f ca="1" t="shared" si="58"/>
        <v> </v>
      </c>
      <c r="AI51" t="str">
        <f ca="1" t="shared" si="58"/>
        <v> </v>
      </c>
      <c r="AJ51" t="str">
        <f ca="1" t="shared" si="58"/>
        <v> </v>
      </c>
      <c r="AK51" t="str">
        <f ca="1" t="shared" si="58"/>
        <v> </v>
      </c>
      <c r="AL51" t="str">
        <f ca="1" t="shared" si="58"/>
        <v> </v>
      </c>
      <c r="AM51" t="str">
        <f ca="1" t="shared" si="58"/>
        <v> </v>
      </c>
      <c r="AN51" t="str">
        <f ca="1" t="shared" si="58"/>
        <v> </v>
      </c>
      <c r="AO51" t="str">
        <f ca="1" t="shared" si="58"/>
        <v> </v>
      </c>
      <c r="AP51" t="str">
        <f ca="1" t="shared" si="58"/>
        <v> </v>
      </c>
      <c r="AQ51" t="str">
        <f ca="1" t="shared" si="58"/>
        <v> </v>
      </c>
      <c r="AR51" t="str">
        <f ca="1" t="shared" si="58"/>
        <v> </v>
      </c>
      <c r="AS51" t="str">
        <f ca="1" t="shared" si="58"/>
        <v> </v>
      </c>
      <c r="AT51" t="str">
        <f ca="1" t="shared" si="59" ref="AT51:AT68">INDIRECT(AT$49&amp;$AB51)</f>
        <v> </v>
      </c>
    </row>
    <row r="52" spans="28:46" ht="12.75">
      <c r="AB52">
        <v>30</v>
      </c>
      <c r="AC52" t="str">
        <f ca="1" t="shared" si="57"/>
        <v> </v>
      </c>
      <c r="AD52" t="str">
        <f ca="1" t="shared" si="58"/>
        <v> </v>
      </c>
      <c r="AE52" t="str">
        <f ca="1" t="shared" si="58"/>
        <v> </v>
      </c>
      <c r="AF52" t="str">
        <f ca="1" t="shared" si="58"/>
        <v> </v>
      </c>
      <c r="AG52" t="str">
        <f ca="1" t="shared" si="58"/>
        <v> </v>
      </c>
      <c r="AH52" t="str">
        <f ca="1" t="shared" si="58"/>
        <v> </v>
      </c>
      <c r="AI52" t="str">
        <f ca="1" t="shared" si="58"/>
        <v> </v>
      </c>
      <c r="AJ52" t="str">
        <f ca="1" t="shared" si="58"/>
        <v> </v>
      </c>
      <c r="AK52" t="str">
        <f ca="1" t="shared" si="58"/>
        <v> </v>
      </c>
      <c r="AL52" t="str">
        <f ca="1" t="shared" si="58"/>
        <v> </v>
      </c>
      <c r="AM52" t="str">
        <f ca="1" t="shared" si="58"/>
        <v> </v>
      </c>
      <c r="AN52" t="str">
        <f ca="1" t="shared" si="58"/>
        <v> </v>
      </c>
      <c r="AO52" t="str">
        <f ca="1" t="shared" si="58"/>
        <v> </v>
      </c>
      <c r="AP52" t="str">
        <f ca="1" t="shared" si="58"/>
        <v> </v>
      </c>
      <c r="AQ52" t="str">
        <f ca="1" t="shared" si="58"/>
        <v> </v>
      </c>
      <c r="AR52" t="str">
        <f ca="1" t="shared" si="58"/>
        <v> </v>
      </c>
      <c r="AS52" t="str">
        <f ca="1" t="shared" si="58"/>
        <v> </v>
      </c>
      <c r="AT52" t="str">
        <f ca="1" t="shared" si="59"/>
        <v> </v>
      </c>
    </row>
    <row r="53" spans="28:46" ht="12.75">
      <c r="AB53">
        <v>31</v>
      </c>
      <c r="AC53" t="str">
        <f ca="1" t="shared" si="57"/>
        <v> </v>
      </c>
      <c r="AD53" t="str">
        <f ca="1" t="shared" si="58"/>
        <v> </v>
      </c>
      <c r="AE53" t="str">
        <f ca="1" t="shared" si="58"/>
        <v> </v>
      </c>
      <c r="AF53" t="str">
        <f ca="1" t="shared" si="58"/>
        <v> </v>
      </c>
      <c r="AG53" t="str">
        <f ca="1" t="shared" si="58"/>
        <v> </v>
      </c>
      <c r="AH53" t="str">
        <f ca="1" t="shared" si="58"/>
        <v> </v>
      </c>
      <c r="AI53" t="str">
        <f ca="1" t="shared" si="58"/>
        <v> </v>
      </c>
      <c r="AJ53" t="str">
        <f ca="1" t="shared" si="58"/>
        <v> </v>
      </c>
      <c r="AK53" t="str">
        <f ca="1" t="shared" si="58"/>
        <v> </v>
      </c>
      <c r="AL53" t="str">
        <f ca="1" t="shared" si="58"/>
        <v> </v>
      </c>
      <c r="AM53" t="str">
        <f ca="1" t="shared" si="58"/>
        <v> </v>
      </c>
      <c r="AN53" t="str">
        <f ca="1" t="shared" si="58"/>
        <v> </v>
      </c>
      <c r="AO53" t="str">
        <f ca="1" t="shared" si="58"/>
        <v> </v>
      </c>
      <c r="AP53" t="str">
        <f ca="1" t="shared" si="58"/>
        <v> </v>
      </c>
      <c r="AQ53" t="str">
        <f ca="1" t="shared" si="58"/>
        <v> </v>
      </c>
      <c r="AR53" t="str">
        <f ca="1" t="shared" si="58"/>
        <v> </v>
      </c>
      <c r="AS53" t="str">
        <f ca="1" t="shared" si="58"/>
        <v> </v>
      </c>
      <c r="AT53" t="str">
        <f ca="1" t="shared" si="59"/>
        <v> </v>
      </c>
    </row>
    <row r="54" spans="28:46" ht="12.75">
      <c r="AB54">
        <v>32</v>
      </c>
      <c r="AC54" t="str">
        <f ca="1" t="shared" si="57"/>
        <v> </v>
      </c>
      <c r="AD54" t="str">
        <f ca="1" t="shared" si="58"/>
        <v> </v>
      </c>
      <c r="AE54" t="str">
        <f ca="1" t="shared" si="58"/>
        <v> </v>
      </c>
      <c r="AF54" t="str">
        <f ca="1" t="shared" si="58"/>
        <v> </v>
      </c>
      <c r="AG54" t="str">
        <f ca="1" t="shared" si="58"/>
        <v> </v>
      </c>
      <c r="AH54" t="str">
        <f ca="1" t="shared" si="58"/>
        <v> </v>
      </c>
      <c r="AI54" t="str">
        <f ca="1" t="shared" si="58"/>
        <v> </v>
      </c>
      <c r="AJ54" t="str">
        <f ca="1" t="shared" si="58"/>
        <v> </v>
      </c>
      <c r="AK54" t="str">
        <f ca="1" t="shared" si="58"/>
        <v> </v>
      </c>
      <c r="AL54" t="str">
        <f ca="1" t="shared" si="58"/>
        <v> </v>
      </c>
      <c r="AM54" t="str">
        <f ca="1" t="shared" si="58"/>
        <v> </v>
      </c>
      <c r="AN54" t="str">
        <f ca="1" t="shared" si="58"/>
        <v> </v>
      </c>
      <c r="AO54" t="str">
        <f ca="1" t="shared" si="58"/>
        <v> </v>
      </c>
      <c r="AP54" t="str">
        <f ca="1" t="shared" si="58"/>
        <v> </v>
      </c>
      <c r="AQ54" t="str">
        <f ca="1" t="shared" si="58"/>
        <v> </v>
      </c>
      <c r="AR54" t="str">
        <f ca="1" t="shared" si="58"/>
        <v> </v>
      </c>
      <c r="AS54" t="str">
        <f ca="1" t="shared" si="58"/>
        <v> </v>
      </c>
      <c r="AT54" t="str">
        <f ca="1" t="shared" si="59"/>
        <v> </v>
      </c>
    </row>
    <row r="55" spans="28:46" ht="12.75">
      <c r="AB55">
        <v>33</v>
      </c>
      <c r="AC55" t="str">
        <f ca="1" t="shared" si="57"/>
        <v> </v>
      </c>
      <c r="AD55" t="str">
        <f ca="1" t="shared" si="58"/>
        <v> </v>
      </c>
      <c r="AE55" t="str">
        <f ca="1" t="shared" si="58"/>
        <v> </v>
      </c>
      <c r="AF55" t="str">
        <f ca="1" t="shared" si="58"/>
        <v> </v>
      </c>
      <c r="AG55" t="str">
        <f ca="1" t="shared" si="58"/>
        <v> </v>
      </c>
      <c r="AH55" t="str">
        <f ca="1" t="shared" si="58"/>
        <v> </v>
      </c>
      <c r="AI55" t="str">
        <f ca="1" t="shared" si="58"/>
        <v> </v>
      </c>
      <c r="AJ55" t="str">
        <f ca="1" t="shared" si="58"/>
        <v> </v>
      </c>
      <c r="AK55" t="str">
        <f ca="1" t="shared" si="58"/>
        <v> </v>
      </c>
      <c r="AL55" t="str">
        <f ca="1" t="shared" si="58"/>
        <v> </v>
      </c>
      <c r="AM55" t="str">
        <f ca="1" t="shared" si="58"/>
        <v> </v>
      </c>
      <c r="AN55" t="str">
        <f ca="1" t="shared" si="58"/>
        <v> </v>
      </c>
      <c r="AO55" t="str">
        <f ca="1" t="shared" si="58"/>
        <v> </v>
      </c>
      <c r="AP55" t="str">
        <f ca="1" t="shared" si="58"/>
        <v> </v>
      </c>
      <c r="AQ55" t="str">
        <f ca="1" t="shared" si="58"/>
        <v> </v>
      </c>
      <c r="AR55" t="str">
        <f ca="1" t="shared" si="58"/>
        <v> </v>
      </c>
      <c r="AS55" t="str">
        <f ca="1" t="shared" si="58"/>
        <v> </v>
      </c>
      <c r="AT55" t="str">
        <f ca="1" t="shared" si="59"/>
        <v> </v>
      </c>
    </row>
    <row r="56" spans="28:46" ht="12.75">
      <c r="AB56">
        <v>34</v>
      </c>
      <c r="AC56" t="str">
        <f ca="1" t="shared" si="57"/>
        <v> </v>
      </c>
      <c r="AD56" t="str">
        <f ca="1" t="shared" si="58"/>
        <v> </v>
      </c>
      <c r="AE56" t="str">
        <f ca="1" t="shared" si="58"/>
        <v> </v>
      </c>
      <c r="AF56" t="str">
        <f ca="1" t="shared" si="58"/>
        <v> </v>
      </c>
      <c r="AG56" t="str">
        <f ca="1" t="shared" si="58"/>
        <v> </v>
      </c>
      <c r="AH56" t="str">
        <f ca="1" t="shared" si="58"/>
        <v> </v>
      </c>
      <c r="AI56" t="str">
        <f ca="1" t="shared" si="58"/>
        <v> </v>
      </c>
      <c r="AJ56" t="str">
        <f ca="1" t="shared" si="58"/>
        <v> </v>
      </c>
      <c r="AK56" t="str">
        <f ca="1" t="shared" si="58"/>
        <v> </v>
      </c>
      <c r="AL56" t="str">
        <f ca="1" t="shared" si="58"/>
        <v> </v>
      </c>
      <c r="AM56" t="str">
        <f ca="1" t="shared" si="58"/>
        <v> </v>
      </c>
      <c r="AN56" t="str">
        <f ca="1" t="shared" si="58"/>
        <v> </v>
      </c>
      <c r="AO56" t="str">
        <f ca="1" t="shared" si="58"/>
        <v> </v>
      </c>
      <c r="AP56" t="str">
        <f ca="1" t="shared" si="58"/>
        <v> </v>
      </c>
      <c r="AQ56" t="str">
        <f ca="1" t="shared" si="58"/>
        <v> </v>
      </c>
      <c r="AR56" t="str">
        <f ca="1" t="shared" si="58"/>
        <v> </v>
      </c>
      <c r="AS56" t="str">
        <f ca="1" t="shared" si="58"/>
        <v> </v>
      </c>
      <c r="AT56" t="str">
        <f ca="1" t="shared" si="59"/>
        <v> </v>
      </c>
    </row>
    <row r="57" spans="28:46" ht="12.75">
      <c r="AB57">
        <v>35</v>
      </c>
      <c r="AC57" t="str">
        <f ca="1" t="shared" si="57"/>
        <v> </v>
      </c>
      <c r="AD57" t="str">
        <f ca="1" t="shared" si="58"/>
        <v> </v>
      </c>
      <c r="AE57" t="str">
        <f ca="1" t="shared" si="58"/>
        <v> </v>
      </c>
      <c r="AF57" t="str">
        <f ca="1" t="shared" si="58"/>
        <v> </v>
      </c>
      <c r="AG57" t="str">
        <f ca="1" t="shared" si="58"/>
        <v> </v>
      </c>
      <c r="AH57" t="str">
        <f ca="1" t="shared" si="58"/>
        <v> </v>
      </c>
      <c r="AI57" t="str">
        <f ca="1" t="shared" si="58"/>
        <v> </v>
      </c>
      <c r="AJ57" t="str">
        <f ca="1" t="shared" si="58"/>
        <v> </v>
      </c>
      <c r="AK57" t="str">
        <f ca="1" t="shared" si="58"/>
        <v> </v>
      </c>
      <c r="AL57" t="str">
        <f ca="1" t="shared" si="58"/>
        <v> </v>
      </c>
      <c r="AM57" t="str">
        <f ca="1" t="shared" si="58"/>
        <v> </v>
      </c>
      <c r="AN57" t="str">
        <f ca="1" t="shared" si="58"/>
        <v> </v>
      </c>
      <c r="AO57" t="str">
        <f ca="1" t="shared" si="58"/>
        <v> </v>
      </c>
      <c r="AP57" t="str">
        <f ca="1" t="shared" si="58"/>
        <v> </v>
      </c>
      <c r="AQ57" t="str">
        <f ca="1" t="shared" si="58"/>
        <v> </v>
      </c>
      <c r="AR57" t="str">
        <f ca="1" t="shared" si="58"/>
        <v> </v>
      </c>
      <c r="AS57" t="str">
        <f ca="1" t="shared" si="58"/>
        <v> </v>
      </c>
      <c r="AT57" t="str">
        <f ca="1" t="shared" si="59"/>
        <v> </v>
      </c>
    </row>
    <row r="58" spans="28:46" ht="12.75">
      <c r="AB58">
        <v>36</v>
      </c>
      <c r="AC58" t="str">
        <f ca="1" t="shared" si="57"/>
        <v> </v>
      </c>
      <c r="AD58" t="str">
        <f ca="1" t="shared" si="58"/>
        <v> </v>
      </c>
      <c r="AE58" t="str">
        <f ca="1" t="shared" si="58"/>
        <v> </v>
      </c>
      <c r="AF58" t="str">
        <f ca="1" t="shared" si="58"/>
        <v> </v>
      </c>
      <c r="AG58" t="str">
        <f ca="1" t="shared" si="58"/>
        <v> </v>
      </c>
      <c r="AH58" t="str">
        <f ca="1" t="shared" si="58"/>
        <v> </v>
      </c>
      <c r="AI58" t="str">
        <f ca="1" t="shared" si="58"/>
        <v> </v>
      </c>
      <c r="AJ58" t="str">
        <f ca="1" t="shared" si="58"/>
        <v> </v>
      </c>
      <c r="AK58" t="str">
        <f ca="1" t="shared" si="58"/>
        <v> </v>
      </c>
      <c r="AL58" t="str">
        <f ca="1" t="shared" si="58"/>
        <v> </v>
      </c>
      <c r="AM58" t="str">
        <f ca="1" t="shared" si="58"/>
        <v> </v>
      </c>
      <c r="AN58" t="str">
        <f ca="1" t="shared" si="58"/>
        <v> </v>
      </c>
      <c r="AO58" t="str">
        <f ca="1" t="shared" si="58"/>
        <v> </v>
      </c>
      <c r="AP58" t="str">
        <f ca="1" t="shared" si="58"/>
        <v> </v>
      </c>
      <c r="AQ58" t="str">
        <f ca="1" t="shared" si="58"/>
        <v> </v>
      </c>
      <c r="AR58" t="str">
        <f ca="1" t="shared" si="58"/>
        <v> </v>
      </c>
      <c r="AS58" t="str">
        <f ca="1" t="shared" si="58"/>
        <v> </v>
      </c>
      <c r="AT58" t="str">
        <f ca="1" t="shared" si="59"/>
        <v> </v>
      </c>
    </row>
    <row r="59" spans="28:46" ht="12.75">
      <c r="AB59">
        <v>37</v>
      </c>
      <c r="AC59" t="str">
        <f ca="1" t="shared" si="57"/>
        <v> </v>
      </c>
      <c r="AD59" t="str">
        <f ca="1" t="shared" si="58"/>
        <v> </v>
      </c>
      <c r="AE59" t="str">
        <f ca="1" t="shared" si="58"/>
        <v> </v>
      </c>
      <c r="AF59" t="str">
        <f ca="1" t="shared" si="58"/>
        <v> </v>
      </c>
      <c r="AG59" t="str">
        <f ca="1" t="shared" si="58"/>
        <v> </v>
      </c>
      <c r="AH59" t="str">
        <f ca="1" t="shared" si="58"/>
        <v> </v>
      </c>
      <c r="AI59" t="str">
        <f ca="1" t="shared" si="58"/>
        <v> </v>
      </c>
      <c r="AJ59" t="str">
        <f ca="1" t="shared" si="58"/>
        <v> </v>
      </c>
      <c r="AK59" t="str">
        <f ca="1" t="shared" si="58"/>
        <v> </v>
      </c>
      <c r="AL59" t="str">
        <f ca="1" t="shared" si="58"/>
        <v> </v>
      </c>
      <c r="AM59" t="str">
        <f ca="1" t="shared" si="58"/>
        <v> </v>
      </c>
      <c r="AN59" t="str">
        <f ca="1" t="shared" si="58"/>
        <v> </v>
      </c>
      <c r="AO59" t="str">
        <f ca="1" t="shared" si="58"/>
        <v> </v>
      </c>
      <c r="AP59" t="str">
        <f ca="1" t="shared" si="58"/>
        <v> </v>
      </c>
      <c r="AQ59" t="str">
        <f ca="1" t="shared" si="58"/>
        <v> </v>
      </c>
      <c r="AR59" t="str">
        <f ca="1" t="shared" si="58"/>
        <v> </v>
      </c>
      <c r="AS59" t="str">
        <f ca="1" t="shared" si="58"/>
        <v> </v>
      </c>
      <c r="AT59" t="str">
        <f ca="1" t="shared" si="59"/>
        <v> </v>
      </c>
    </row>
    <row r="60" spans="28:46" ht="12.75">
      <c r="AB60">
        <v>38</v>
      </c>
      <c r="AC60" t="str">
        <f ca="1" t="shared" si="57"/>
        <v> </v>
      </c>
      <c r="AD60" t="str">
        <f ca="1" t="shared" si="58"/>
        <v> </v>
      </c>
      <c r="AE60" t="str">
        <f ca="1" t="shared" si="58"/>
        <v> </v>
      </c>
      <c r="AF60" t="str">
        <f ca="1" t="shared" si="58"/>
        <v> </v>
      </c>
      <c r="AG60" t="str">
        <f ca="1" t="shared" si="58"/>
        <v> </v>
      </c>
      <c r="AH60" t="str">
        <f ca="1" t="shared" si="58"/>
        <v> </v>
      </c>
      <c r="AI60" t="str">
        <f ca="1" t="shared" si="58"/>
        <v> </v>
      </c>
      <c r="AJ60" t="str">
        <f ca="1" t="shared" si="58"/>
        <v> </v>
      </c>
      <c r="AK60" t="str">
        <f ca="1" t="shared" si="58"/>
        <v> </v>
      </c>
      <c r="AL60" t="str">
        <f ca="1" t="shared" si="58"/>
        <v> </v>
      </c>
      <c r="AM60" t="str">
        <f ca="1" t="shared" si="58"/>
        <v> </v>
      </c>
      <c r="AN60" t="str">
        <f ca="1" t="shared" si="58"/>
        <v> </v>
      </c>
      <c r="AO60" t="str">
        <f ca="1" t="shared" si="58"/>
        <v> </v>
      </c>
      <c r="AP60" t="str">
        <f ca="1" t="shared" si="58"/>
        <v> </v>
      </c>
      <c r="AQ60" t="str">
        <f ca="1" t="shared" si="58"/>
        <v> </v>
      </c>
      <c r="AR60" t="str">
        <f ca="1" t="shared" si="58"/>
        <v> </v>
      </c>
      <c r="AS60" t="str">
        <f ca="1" t="shared" si="58"/>
        <v> </v>
      </c>
      <c r="AT60" t="str">
        <f ca="1" t="shared" si="59"/>
        <v> </v>
      </c>
    </row>
    <row r="61" spans="28:46" ht="12.75">
      <c r="AB61">
        <v>39</v>
      </c>
      <c r="AC61" t="str">
        <f ca="1" t="shared" si="57"/>
        <v> </v>
      </c>
      <c r="AD61" t="str">
        <f ca="1" t="shared" si="58"/>
        <v> </v>
      </c>
      <c r="AE61" t="str">
        <f ca="1" t="shared" si="58"/>
        <v> </v>
      </c>
      <c r="AF61" t="str">
        <f ca="1" t="shared" si="58"/>
        <v> </v>
      </c>
      <c r="AG61" t="str">
        <f ca="1" t="shared" si="58"/>
        <v> </v>
      </c>
      <c r="AH61" t="str">
        <f ca="1" t="shared" si="58"/>
        <v> </v>
      </c>
      <c r="AI61" t="str">
        <f ca="1" t="shared" si="58"/>
        <v> </v>
      </c>
      <c r="AJ61" t="str">
        <f ca="1" t="shared" si="58"/>
        <v> </v>
      </c>
      <c r="AK61" t="str">
        <f ca="1" t="shared" si="58"/>
        <v> </v>
      </c>
      <c r="AL61" t="str">
        <f ca="1" t="shared" si="58"/>
        <v> </v>
      </c>
      <c r="AM61" t="str">
        <f ca="1" t="shared" si="58"/>
        <v> </v>
      </c>
      <c r="AN61" t="str">
        <f ca="1" t="shared" si="58"/>
        <v> </v>
      </c>
      <c r="AO61" t="str">
        <f ca="1" t="shared" si="58"/>
        <v> </v>
      </c>
      <c r="AP61" t="str">
        <f ca="1" t="shared" si="58"/>
        <v> </v>
      </c>
      <c r="AQ61" t="str">
        <f ca="1" t="shared" si="58"/>
        <v> </v>
      </c>
      <c r="AR61" t="str">
        <f ca="1" t="shared" si="58"/>
        <v> </v>
      </c>
      <c r="AS61" t="str">
        <f ca="1" t="shared" si="58"/>
        <v> </v>
      </c>
      <c r="AT61" t="str">
        <f ca="1" t="shared" si="59"/>
        <v> </v>
      </c>
    </row>
    <row r="62" spans="28:46" ht="12.75">
      <c r="AB62">
        <v>40</v>
      </c>
      <c r="AC62" t="str">
        <f ca="1" t="shared" si="57"/>
        <v> </v>
      </c>
      <c r="AD62" t="str">
        <f ca="1" t="shared" si="58"/>
        <v> </v>
      </c>
      <c r="AE62" t="str">
        <f ca="1" t="shared" si="58"/>
        <v> </v>
      </c>
      <c r="AF62" t="str">
        <f ca="1" t="shared" si="58"/>
        <v> </v>
      </c>
      <c r="AG62" t="str">
        <f ca="1" t="shared" si="58"/>
        <v> </v>
      </c>
      <c r="AH62" t="str">
        <f ca="1" t="shared" si="58"/>
        <v> </v>
      </c>
      <c r="AI62" t="str">
        <f ca="1" t="shared" si="58"/>
        <v> </v>
      </c>
      <c r="AJ62" t="str">
        <f ca="1" t="shared" si="58"/>
        <v> </v>
      </c>
      <c r="AK62" t="str">
        <f ca="1" t="shared" si="58"/>
        <v> </v>
      </c>
      <c r="AL62" t="str">
        <f ca="1" t="shared" si="58"/>
        <v> </v>
      </c>
      <c r="AM62" t="str">
        <f ca="1" t="shared" si="58"/>
        <v> </v>
      </c>
      <c r="AN62" t="str">
        <f ca="1" t="shared" si="58"/>
        <v> </v>
      </c>
      <c r="AO62" t="str">
        <f ca="1" t="shared" si="58"/>
        <v> </v>
      </c>
      <c r="AP62" t="str">
        <f ca="1" t="shared" si="58"/>
        <v> </v>
      </c>
      <c r="AQ62" t="str">
        <f ca="1" t="shared" si="58"/>
        <v> </v>
      </c>
      <c r="AR62" t="str">
        <f ca="1" t="shared" si="58"/>
        <v> </v>
      </c>
      <c r="AS62" t="str">
        <f ca="1" t="shared" si="58"/>
        <v> </v>
      </c>
      <c r="AT62" t="str">
        <f ca="1" t="shared" si="59"/>
        <v> </v>
      </c>
    </row>
    <row r="63" spans="28:46" ht="12.75">
      <c r="AB63">
        <v>41</v>
      </c>
      <c r="AC63" t="str">
        <f ca="1" t="shared" si="57"/>
        <v> </v>
      </c>
      <c r="AD63" t="str">
        <f ca="1" t="shared" si="58"/>
        <v> </v>
      </c>
      <c r="AE63" t="str">
        <f ca="1" t="shared" si="58"/>
        <v> </v>
      </c>
      <c r="AF63" t="str">
        <f ca="1" t="shared" si="58"/>
        <v> </v>
      </c>
      <c r="AG63" t="str">
        <f ca="1" t="shared" si="58"/>
        <v> </v>
      </c>
      <c r="AH63" t="str">
        <f ca="1" t="shared" si="58"/>
        <v> </v>
      </c>
      <c r="AI63" t="str">
        <f ca="1" t="shared" si="58"/>
        <v> </v>
      </c>
      <c r="AJ63" t="str">
        <f ca="1" t="shared" si="58"/>
        <v> </v>
      </c>
      <c r="AK63" t="str">
        <f ca="1" t="shared" si="58"/>
        <v> </v>
      </c>
      <c r="AL63" t="str">
        <f ca="1" t="shared" si="58"/>
        <v> </v>
      </c>
      <c r="AM63" t="str">
        <f ca="1" t="shared" si="58"/>
        <v> </v>
      </c>
      <c r="AN63" t="str">
        <f ca="1" t="shared" si="58"/>
        <v> </v>
      </c>
      <c r="AO63" t="str">
        <f ca="1" t="shared" si="58"/>
        <v> </v>
      </c>
      <c r="AP63" t="str">
        <f ca="1" t="shared" si="58"/>
        <v> </v>
      </c>
      <c r="AQ63" t="str">
        <f ca="1" t="shared" si="58"/>
        <v> </v>
      </c>
      <c r="AR63" t="str">
        <f ca="1" t="shared" si="58"/>
        <v> </v>
      </c>
      <c r="AS63" t="str">
        <f ca="1" t="shared" si="58"/>
        <v> </v>
      </c>
      <c r="AT63" t="str">
        <f ca="1" t="shared" si="59"/>
        <v> </v>
      </c>
    </row>
    <row r="64" spans="28:46" ht="12.75">
      <c r="AB64">
        <v>42</v>
      </c>
      <c r="AC64" t="str">
        <f ca="1" t="shared" si="57"/>
        <v> </v>
      </c>
      <c r="AD64" t="str">
        <f ca="1" t="shared" si="58"/>
        <v> </v>
      </c>
      <c r="AE64" t="str">
        <f ca="1" t="shared" si="58"/>
        <v> </v>
      </c>
      <c r="AF64" t="str">
        <f ca="1" t="shared" si="58"/>
        <v> </v>
      </c>
      <c r="AG64" t="str">
        <f ca="1" t="shared" si="58"/>
        <v> </v>
      </c>
      <c r="AH64" t="str">
        <f ca="1" t="shared" si="58"/>
        <v> </v>
      </c>
      <c r="AI64" t="str">
        <f ca="1" t="shared" si="58"/>
        <v> </v>
      </c>
      <c r="AJ64" t="str">
        <f ca="1" t="shared" si="58"/>
        <v> </v>
      </c>
      <c r="AK64" t="str">
        <f ca="1" t="shared" si="58"/>
        <v> </v>
      </c>
      <c r="AL64" t="str">
        <f ca="1" t="shared" si="58"/>
        <v> </v>
      </c>
      <c r="AM64" t="str">
        <f ca="1" t="shared" si="58"/>
        <v> </v>
      </c>
      <c r="AN64" t="str">
        <f ca="1" t="shared" si="58"/>
        <v> </v>
      </c>
      <c r="AO64" t="str">
        <f ca="1" t="shared" si="58"/>
        <v> </v>
      </c>
      <c r="AP64" t="str">
        <f ca="1" t="shared" si="58"/>
        <v> </v>
      </c>
      <c r="AQ64" t="str">
        <f ca="1" t="shared" si="58"/>
        <v> </v>
      </c>
      <c r="AR64" t="str">
        <f ca="1" t="shared" si="58"/>
        <v> </v>
      </c>
      <c r="AS64" t="str">
        <f ca="1" t="shared" si="58"/>
        <v> </v>
      </c>
      <c r="AT64" t="str">
        <f ca="1" t="shared" si="59"/>
        <v> </v>
      </c>
    </row>
    <row r="65" spans="28:46" ht="12.75">
      <c r="AB65">
        <v>43</v>
      </c>
      <c r="AC65" t="str">
        <f ca="1" t="shared" si="57"/>
        <v> </v>
      </c>
      <c r="AD65" t="str">
        <f ca="1" t="shared" si="58"/>
        <v> </v>
      </c>
      <c r="AE65" t="str">
        <f ca="1" t="shared" si="58"/>
        <v> </v>
      </c>
      <c r="AF65" t="str">
        <f ca="1" t="shared" si="58"/>
        <v> </v>
      </c>
      <c r="AG65" t="str">
        <f ca="1" t="shared" si="58"/>
        <v> </v>
      </c>
      <c r="AH65" t="str">
        <f ca="1" t="shared" si="58"/>
        <v> </v>
      </c>
      <c r="AI65" t="str">
        <f ca="1" t="shared" si="58"/>
        <v> </v>
      </c>
      <c r="AJ65" t="str">
        <f ca="1" t="shared" si="58"/>
        <v> </v>
      </c>
      <c r="AK65" t="str">
        <f ca="1" t="shared" si="58"/>
        <v> </v>
      </c>
      <c r="AL65" t="str">
        <f ca="1" t="shared" si="58"/>
        <v> </v>
      </c>
      <c r="AM65" t="str">
        <f ca="1" t="shared" si="58"/>
        <v> </v>
      </c>
      <c r="AN65" t="str">
        <f ca="1" t="shared" si="58"/>
        <v> </v>
      </c>
      <c r="AO65" t="str">
        <f ca="1" t="shared" si="58"/>
        <v> </v>
      </c>
      <c r="AP65" t="str">
        <f ca="1" t="shared" si="58"/>
        <v> </v>
      </c>
      <c r="AQ65" t="str">
        <f ca="1" t="shared" si="58"/>
        <v> </v>
      </c>
      <c r="AR65" t="str">
        <f ca="1" t="shared" si="58"/>
        <v> </v>
      </c>
      <c r="AS65" t="str">
        <f ca="1" t="shared" si="58"/>
        <v> </v>
      </c>
      <c r="AT65" t="str">
        <f ca="1" t="shared" si="59"/>
        <v> </v>
      </c>
    </row>
    <row r="66" spans="28:46" ht="12.75">
      <c r="AB66">
        <v>44</v>
      </c>
      <c r="AC66" t="str">
        <f ca="1" t="shared" si="57"/>
        <v> </v>
      </c>
      <c r="AD66" t="str">
        <f ca="1" t="shared" si="58"/>
        <v> </v>
      </c>
      <c r="AE66" t="str">
        <f ca="1" t="shared" si="58"/>
        <v> </v>
      </c>
      <c r="AF66" t="str">
        <f ca="1" t="shared" si="58"/>
        <v> </v>
      </c>
      <c r="AG66" t="str">
        <f ca="1" t="shared" si="58"/>
        <v> </v>
      </c>
      <c r="AH66" t="str">
        <f ca="1" t="shared" si="58"/>
        <v> </v>
      </c>
      <c r="AI66" t="str">
        <f ca="1" t="shared" si="58"/>
        <v> </v>
      </c>
      <c r="AJ66" t="str">
        <f ca="1" t="shared" si="58"/>
        <v> </v>
      </c>
      <c r="AK66" t="str">
        <f ca="1" t="shared" si="58"/>
        <v> </v>
      </c>
      <c r="AL66" t="str">
        <f ca="1" t="shared" si="58"/>
        <v> </v>
      </c>
      <c r="AM66" t="str">
        <f ca="1" t="shared" si="58"/>
        <v> </v>
      </c>
      <c r="AN66" t="str">
        <f ca="1" t="shared" si="58"/>
        <v> </v>
      </c>
      <c r="AO66" t="str">
        <f ca="1" t="shared" si="58"/>
        <v> </v>
      </c>
      <c r="AP66" t="str">
        <f ca="1" t="shared" si="58"/>
        <v> </v>
      </c>
      <c r="AQ66" t="str">
        <f ca="1" t="shared" si="58"/>
        <v> </v>
      </c>
      <c r="AR66" t="str">
        <f ca="1" t="shared" si="58"/>
        <v> </v>
      </c>
      <c r="AS66" t="str">
        <f ca="1">INDIRECT(AS$49&amp;$AB66)</f>
        <v> </v>
      </c>
      <c r="AT66" t="str">
        <f ca="1" t="shared" si="59"/>
        <v> </v>
      </c>
    </row>
    <row r="67" spans="28:46" ht="12.75">
      <c r="AB67">
        <v>45</v>
      </c>
      <c r="AC67" t="str">
        <f ca="1" t="shared" si="57"/>
        <v> </v>
      </c>
      <c r="AD67" t="str">
        <f ca="1" t="shared" si="60" ref="AD67:AR67">INDIRECT(AD$49&amp;$AB67)</f>
        <v> </v>
      </c>
      <c r="AE67" t="str">
        <f ca="1" t="shared" si="60"/>
        <v> </v>
      </c>
      <c r="AF67" t="str">
        <f ca="1" t="shared" si="60"/>
        <v> </v>
      </c>
      <c r="AG67" t="str">
        <f ca="1" t="shared" si="60"/>
        <v> </v>
      </c>
      <c r="AH67" t="str">
        <f ca="1" t="shared" si="60"/>
        <v> </v>
      </c>
      <c r="AI67" t="str">
        <f ca="1" t="shared" si="60"/>
        <v> </v>
      </c>
      <c r="AJ67" t="str">
        <f ca="1" t="shared" si="60"/>
        <v> </v>
      </c>
      <c r="AK67" t="str">
        <f ca="1" t="shared" si="60"/>
        <v> </v>
      </c>
      <c r="AL67" t="str">
        <f ca="1" t="shared" si="60"/>
        <v> </v>
      </c>
      <c r="AM67" t="str">
        <f ca="1" t="shared" si="60"/>
        <v> </v>
      </c>
      <c r="AN67" t="str">
        <f ca="1" t="shared" si="60"/>
        <v> </v>
      </c>
      <c r="AO67" t="str">
        <f ca="1" t="shared" si="60"/>
        <v> </v>
      </c>
      <c r="AP67" t="str">
        <f ca="1" t="shared" si="60"/>
        <v> </v>
      </c>
      <c r="AQ67" t="str">
        <f ca="1" t="shared" si="60"/>
        <v> </v>
      </c>
      <c r="AR67" t="str">
        <f ca="1" t="shared" si="60"/>
        <v> </v>
      </c>
      <c r="AS67" t="str">
        <f ca="1">INDIRECT(AS$49&amp;$AB67)</f>
        <v> </v>
      </c>
      <c r="AT67" t="str">
        <f ca="1" t="shared" si="59"/>
        <v> </v>
      </c>
    </row>
    <row r="68" spans="28:46" ht="12.75">
      <c r="AB68">
        <v>46</v>
      </c>
      <c r="AC68" t="str">
        <f ca="1" t="shared" si="61" ref="AC68:AR68">INDIRECT(AC$49&amp;$AB68)</f>
        <v> </v>
      </c>
      <c r="AD68" t="str">
        <f ca="1" t="shared" si="61"/>
        <v> </v>
      </c>
      <c r="AE68" t="str">
        <f ca="1" t="shared" si="61"/>
        <v> </v>
      </c>
      <c r="AF68" t="str">
        <f ca="1" t="shared" si="61"/>
        <v> </v>
      </c>
      <c r="AG68" t="str">
        <f ca="1" t="shared" si="61"/>
        <v> </v>
      </c>
      <c r="AH68" t="str">
        <f ca="1" t="shared" si="61"/>
        <v> </v>
      </c>
      <c r="AI68" t="str">
        <f ca="1" t="shared" si="61"/>
        <v> </v>
      </c>
      <c r="AJ68" t="str">
        <f ca="1" t="shared" si="61"/>
        <v> </v>
      </c>
      <c r="AK68" t="str">
        <f ca="1" t="shared" si="61"/>
        <v> </v>
      </c>
      <c r="AL68" t="str">
        <f ca="1" t="shared" si="61"/>
        <v> </v>
      </c>
      <c r="AM68" t="str">
        <f ca="1" t="shared" si="61"/>
        <v> </v>
      </c>
      <c r="AN68" t="str">
        <f ca="1" t="shared" si="61"/>
        <v> </v>
      </c>
      <c r="AO68" t="str">
        <f ca="1" t="shared" si="61"/>
        <v> </v>
      </c>
      <c r="AP68" t="str">
        <f ca="1" t="shared" si="61"/>
        <v> </v>
      </c>
      <c r="AQ68" t="str">
        <f ca="1" t="shared" si="61"/>
        <v> </v>
      </c>
      <c r="AR68" t="str">
        <f ca="1" t="shared" si="61"/>
        <v> </v>
      </c>
      <c r="AS68" t="str">
        <f ca="1">INDIRECT(AS$49&amp;$AB68)</f>
        <v> </v>
      </c>
      <c r="AT68" t="str">
        <f ca="1" t="shared" si="59"/>
        <v> </v>
      </c>
    </row>
  </sheetData>
  <conditionalFormatting sqref="C46 V46:X46 C22 V22:X22">
    <cfRule type="expression" priority="1" dxfId="0" stopIfTrue="1">
      <formula>$C$46="spielfrei"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DA45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4.28125" style="0" customWidth="1"/>
    <col min="3" max="3" width="20.7109375" style="0" customWidth="1"/>
    <col min="4" max="4" width="4.28125" style="0" customWidth="1"/>
    <col min="5" max="5" width="10.7109375" style="0" customWidth="1"/>
    <col min="7" max="7" width="5.140625" style="0" customWidth="1"/>
    <col min="8" max="8" width="5.140625" style="0" hidden="1" customWidth="1"/>
    <col min="9" max="9" width="4.28125" style="0" hidden="1" customWidth="1"/>
    <col min="10" max="10" width="20.7109375" style="0" hidden="1" customWidth="1"/>
    <col min="11" max="11" width="4.28125" style="0" hidden="1" customWidth="1"/>
    <col min="12" max="12" width="10.7109375" style="0" hidden="1" customWidth="1"/>
    <col min="13" max="13" width="11.421875" style="0" hidden="1" customWidth="1"/>
    <col min="14" max="14" width="19.421875" style="0" hidden="1" customWidth="1"/>
    <col min="15" max="16" width="3.7109375" style="0" hidden="1" customWidth="1"/>
    <col min="17" max="19" width="11.421875" style="0" hidden="1" customWidth="1"/>
    <col min="20" max="20" width="5.7109375" style="1" hidden="1" customWidth="1"/>
    <col min="21" max="26" width="11.421875" style="0" hidden="1" customWidth="1"/>
    <col min="27" max="27" width="17.57421875" style="0" hidden="1" customWidth="1"/>
    <col min="28" max="29" width="6.7109375" style="1" hidden="1" customWidth="1"/>
    <col min="30" max="97" width="8.7109375" style="0" hidden="1" customWidth="1"/>
    <col min="98" max="106" width="11.421875" style="0" hidden="1" customWidth="1"/>
  </cols>
  <sheetData>
    <row r="1" spans="2:105" ht="24.75" customHeight="1">
      <c r="B1" s="83" t="str">
        <f>Eingabe!$G$3</f>
        <v>z. B. Monatsblitzturnier</v>
      </c>
      <c r="C1" s="12"/>
      <c r="D1" s="12"/>
      <c r="E1" s="12"/>
      <c r="F1" s="12"/>
      <c r="AD1" s="154"/>
      <c r="AU1" s="154"/>
      <c r="BL1" s="154"/>
      <c r="CC1" s="154"/>
      <c r="CT1" s="155" t="s">
        <v>62</v>
      </c>
      <c r="CU1" s="156" t="s">
        <v>63</v>
      </c>
      <c r="CV1" s="156" t="s">
        <v>64</v>
      </c>
      <c r="CW1" s="156" t="s">
        <v>65</v>
      </c>
      <c r="CX1" s="156" t="s">
        <v>66</v>
      </c>
      <c r="CY1" s="156" t="s">
        <v>67</v>
      </c>
      <c r="CZ1" s="119" t="s">
        <v>68</v>
      </c>
      <c r="DA1" s="174"/>
    </row>
    <row r="2" spans="2:105" ht="19.5" customHeight="1" thickBot="1">
      <c r="B2" s="37"/>
      <c r="C2" s="37"/>
      <c r="D2" s="38"/>
      <c r="E2" s="38" t="s">
        <v>20</v>
      </c>
      <c r="F2" s="52" t="str">
        <f>Eingabe!G2</f>
        <v>??.??.????</v>
      </c>
      <c r="I2" s="2"/>
      <c r="J2" s="2"/>
      <c r="K2" s="2"/>
      <c r="L2" s="2"/>
      <c r="M2" s="2"/>
      <c r="AD2" s="194" t="s">
        <v>69</v>
      </c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6"/>
      <c r="AU2" s="194" t="s">
        <v>70</v>
      </c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6"/>
      <c r="BL2" s="194" t="s">
        <v>71</v>
      </c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4" t="s">
        <v>72</v>
      </c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6"/>
      <c r="CT2" s="158" t="s">
        <v>73</v>
      </c>
      <c r="CU2" s="159" t="s">
        <v>74</v>
      </c>
      <c r="CV2" s="160" t="s">
        <v>75</v>
      </c>
      <c r="CW2" s="160" t="s">
        <v>76</v>
      </c>
      <c r="CX2" s="160" t="s">
        <v>77</v>
      </c>
      <c r="CY2" s="160" t="s">
        <v>78</v>
      </c>
      <c r="CZ2" s="160" t="s">
        <v>79</v>
      </c>
      <c r="DA2" s="175" t="s">
        <v>80</v>
      </c>
    </row>
    <row r="3" spans="2:105" ht="19.5" customHeight="1">
      <c r="B3" s="39"/>
      <c r="C3" s="84" t="s">
        <v>44</v>
      </c>
      <c r="D3" s="41"/>
      <c r="E3" s="41"/>
      <c r="F3" s="42"/>
      <c r="I3" s="39"/>
      <c r="J3" s="40"/>
      <c r="K3" s="41"/>
      <c r="L3" s="41"/>
      <c r="M3" s="42"/>
      <c r="AA3" s="161" t="s">
        <v>59</v>
      </c>
      <c r="AB3" s="162" t="s">
        <v>61</v>
      </c>
      <c r="AC3" s="162" t="s">
        <v>60</v>
      </c>
      <c r="AD3" s="163" t="s">
        <v>21</v>
      </c>
      <c r="AE3" s="3" t="s">
        <v>22</v>
      </c>
      <c r="AF3" s="3" t="s">
        <v>23</v>
      </c>
      <c r="AG3" s="3" t="s">
        <v>24</v>
      </c>
      <c r="AH3" s="3" t="s">
        <v>25</v>
      </c>
      <c r="AI3" s="3" t="s">
        <v>27</v>
      </c>
      <c r="AJ3" s="3" t="s">
        <v>28</v>
      </c>
      <c r="AK3" s="3" t="s">
        <v>29</v>
      </c>
      <c r="AL3" s="3" t="s">
        <v>30</v>
      </c>
      <c r="AM3" s="3" t="s">
        <v>31</v>
      </c>
      <c r="AN3" s="3" t="s">
        <v>32</v>
      </c>
      <c r="AO3" s="3" t="s">
        <v>33</v>
      </c>
      <c r="AP3" s="3" t="s">
        <v>34</v>
      </c>
      <c r="AQ3" s="3" t="s">
        <v>35</v>
      </c>
      <c r="AR3" s="3" t="s">
        <v>36</v>
      </c>
      <c r="AS3" s="3" t="s">
        <v>37</v>
      </c>
      <c r="AT3" s="3" t="s">
        <v>38</v>
      </c>
      <c r="AU3" s="163" t="s">
        <v>21</v>
      </c>
      <c r="AV3" s="3" t="s">
        <v>22</v>
      </c>
      <c r="AW3" s="3" t="s">
        <v>23</v>
      </c>
      <c r="AX3" s="3" t="s">
        <v>24</v>
      </c>
      <c r="AY3" s="3" t="s">
        <v>25</v>
      </c>
      <c r="AZ3" s="3" t="s">
        <v>27</v>
      </c>
      <c r="BA3" s="3" t="s">
        <v>28</v>
      </c>
      <c r="BB3" s="3" t="s">
        <v>29</v>
      </c>
      <c r="BC3" s="3" t="s">
        <v>30</v>
      </c>
      <c r="BD3" s="3" t="s">
        <v>31</v>
      </c>
      <c r="BE3" s="3" t="s">
        <v>32</v>
      </c>
      <c r="BF3" s="3" t="s">
        <v>33</v>
      </c>
      <c r="BG3" s="3" t="s">
        <v>34</v>
      </c>
      <c r="BH3" s="3" t="s">
        <v>35</v>
      </c>
      <c r="BI3" s="3" t="s">
        <v>36</v>
      </c>
      <c r="BJ3" s="3" t="s">
        <v>37</v>
      </c>
      <c r="BK3" s="3" t="s">
        <v>38</v>
      </c>
      <c r="BL3" s="163" t="s">
        <v>21</v>
      </c>
      <c r="BM3" s="3" t="s">
        <v>22</v>
      </c>
      <c r="BN3" s="3" t="s">
        <v>23</v>
      </c>
      <c r="BO3" s="3" t="s">
        <v>24</v>
      </c>
      <c r="BP3" s="3" t="s">
        <v>25</v>
      </c>
      <c r="BQ3" s="3" t="s">
        <v>27</v>
      </c>
      <c r="BR3" s="3" t="s">
        <v>28</v>
      </c>
      <c r="BS3" s="3" t="s">
        <v>29</v>
      </c>
      <c r="BT3" s="3" t="s">
        <v>30</v>
      </c>
      <c r="BU3" s="3" t="s">
        <v>31</v>
      </c>
      <c r="BV3" s="3" t="s">
        <v>32</v>
      </c>
      <c r="BW3" s="3" t="s">
        <v>33</v>
      </c>
      <c r="BX3" s="3" t="s">
        <v>34</v>
      </c>
      <c r="BY3" s="3" t="s">
        <v>35</v>
      </c>
      <c r="BZ3" s="3" t="s">
        <v>36</v>
      </c>
      <c r="CA3" s="3" t="s">
        <v>37</v>
      </c>
      <c r="CB3" s="3" t="s">
        <v>38</v>
      </c>
      <c r="CC3" s="163" t="s">
        <v>21</v>
      </c>
      <c r="CD3" s="3" t="s">
        <v>22</v>
      </c>
      <c r="CE3" s="3" t="s">
        <v>23</v>
      </c>
      <c r="CF3" s="3" t="s">
        <v>24</v>
      </c>
      <c r="CG3" s="3" t="s">
        <v>25</v>
      </c>
      <c r="CH3" s="3" t="s">
        <v>27</v>
      </c>
      <c r="CI3" s="3" t="s">
        <v>28</v>
      </c>
      <c r="CJ3" s="3" t="s">
        <v>29</v>
      </c>
      <c r="CK3" s="3" t="s">
        <v>30</v>
      </c>
      <c r="CL3" s="3" t="s">
        <v>31</v>
      </c>
      <c r="CM3" s="3" t="s">
        <v>32</v>
      </c>
      <c r="CN3" s="3" t="s">
        <v>33</v>
      </c>
      <c r="CO3" s="3" t="s">
        <v>34</v>
      </c>
      <c r="CP3" s="3" t="s">
        <v>35</v>
      </c>
      <c r="CQ3" s="3" t="s">
        <v>36</v>
      </c>
      <c r="CR3" s="3" t="s">
        <v>37</v>
      </c>
      <c r="CS3" s="3" t="s">
        <v>38</v>
      </c>
      <c r="CT3" s="154"/>
      <c r="DA3" s="176"/>
    </row>
    <row r="4" spans="2:105" ht="19.5" customHeight="1">
      <c r="B4" s="43"/>
      <c r="C4" s="85" t="str">
        <f>J4</f>
        <v>Stand nach der 0. Runde</v>
      </c>
      <c r="D4" s="44"/>
      <c r="E4" s="60" t="s">
        <v>42</v>
      </c>
      <c r="F4" s="54" t="s">
        <v>41</v>
      </c>
      <c r="I4" s="43"/>
      <c r="J4" s="86" t="str">
        <f>IF(EXACT("spielfrei",Eingabe!G13)=TRUE,Q4,R4)</f>
        <v>Stand nach der 0. Runde</v>
      </c>
      <c r="K4" s="44"/>
      <c r="L4" s="59" t="s">
        <v>42</v>
      </c>
      <c r="M4" s="54" t="s">
        <v>41</v>
      </c>
      <c r="O4" s="31">
        <f>IF(SUM(K5:K21)=272,1,0)</f>
        <v>0</v>
      </c>
      <c r="P4" s="31"/>
      <c r="Q4" s="87" t="str">
        <f>IF((SUM(K5:K21))/16=MAX(K5:K21)+O4,"Stand nach der "&amp;(MAX(K5:K21)+O4)&amp;". Runde","")</f>
        <v>Stand nach der 0. Runde</v>
      </c>
      <c r="R4" s="87" t="str">
        <f>IF((SUM(K5:K22))/18=MAX(K5:K22),"Stand nach der "&amp;MAX(K5:K22)&amp;". Runde","")</f>
        <v>Stand nach der 0. Runde</v>
      </c>
      <c r="AA4" t="str">
        <f>Eingabe!C6</f>
        <v>Spieler 1</v>
      </c>
      <c r="AB4" s="1">
        <f>IF(Eingabe!E6=" ",0,Eingabe!E6)</f>
        <v>0</v>
      </c>
      <c r="AC4" s="1">
        <f>IF(Eingabe!D6=5,5,IF(Eingabe!D6=10,10,15))</f>
        <v>15</v>
      </c>
      <c r="AD4" s="163">
        <f>$AB$21</f>
        <v>0</v>
      </c>
      <c r="AE4" s="3">
        <f>$AB$19</f>
        <v>0</v>
      </c>
      <c r="AF4" s="3">
        <f>$AB$17</f>
        <v>0</v>
      </c>
      <c r="AG4" s="3">
        <f>$AB$15</f>
        <v>0</v>
      </c>
      <c r="AH4" s="3">
        <f>$AB$13</f>
        <v>0</v>
      </c>
      <c r="AI4" s="3">
        <f>$AB$11</f>
        <v>0</v>
      </c>
      <c r="AJ4" s="3">
        <f>$AB$9</f>
        <v>0</v>
      </c>
      <c r="AK4" s="3">
        <f>$AB$7</f>
        <v>0</v>
      </c>
      <c r="AL4" s="3">
        <f>$AB$5</f>
        <v>0</v>
      </c>
      <c r="AM4" s="3">
        <f>$AB$20</f>
        <v>0</v>
      </c>
      <c r="AN4" s="3">
        <f>$AB$18</f>
        <v>0</v>
      </c>
      <c r="AO4" s="3">
        <f>$AB$16</f>
        <v>0</v>
      </c>
      <c r="AP4" s="3">
        <f>$AB$14</f>
        <v>0</v>
      </c>
      <c r="AQ4" s="3">
        <f>$AB$12</f>
        <v>0</v>
      </c>
      <c r="AR4" s="3">
        <f>$AB$10</f>
        <v>0</v>
      </c>
      <c r="AS4" s="3">
        <f>$AB$8</f>
        <v>0</v>
      </c>
      <c r="AT4" s="3">
        <f>$AB$6</f>
        <v>0</v>
      </c>
      <c r="AU4" s="163" t="str">
        <f>'18 Spieler'!$G$12</f>
        <v> </v>
      </c>
      <c r="AV4" s="3" t="str">
        <f>'18 Spieler'!$Q$13</f>
        <v> </v>
      </c>
      <c r="AW4" s="3" t="str">
        <f>'18 Spieler'!$Y$14</f>
        <v> </v>
      </c>
      <c r="AX4" s="3" t="str">
        <f>'18 Spieler'!$AG$15</f>
        <v> </v>
      </c>
      <c r="AY4" s="3" t="str">
        <f>'18 Spieler'!$AO$16</f>
        <v> </v>
      </c>
      <c r="AZ4" s="3" t="str">
        <f>'18 Spieler'!$I$30</f>
        <v> </v>
      </c>
      <c r="BA4" s="3" t="str">
        <f>'18 Spieler'!$Q$31</f>
        <v> </v>
      </c>
      <c r="BB4" s="3" t="str">
        <f>'18 Spieler'!$Y$32</f>
        <v> </v>
      </c>
      <c r="BC4" s="3" t="str">
        <f>'18 Spieler'!$AG$33</f>
        <v> </v>
      </c>
      <c r="BD4" s="3" t="str">
        <f>'18 Spieler'!$AM$33</f>
        <v> </v>
      </c>
      <c r="BE4" s="3" t="str">
        <f>'18 Spieler'!$G$45</f>
        <v> </v>
      </c>
      <c r="BF4" s="3" t="str">
        <f>'18 Spieler'!$O$44</f>
        <v> </v>
      </c>
      <c r="BG4" s="3" t="str">
        <f>'18 Spieler'!$W$43</f>
        <v> </v>
      </c>
      <c r="BH4" s="3" t="str">
        <f>'18 Spieler'!$AE$42</f>
        <v> </v>
      </c>
      <c r="BI4" s="3" t="str">
        <f>'18 Spieler'!$AM$41</f>
        <v> </v>
      </c>
      <c r="BJ4" s="3" t="str">
        <f>'18 Spieler'!$G$53</f>
        <v> </v>
      </c>
      <c r="BK4" s="3" t="str">
        <f>'18 Spieler'!$O$52</f>
        <v> </v>
      </c>
      <c r="BL4" s="163" t="str">
        <f aca="true" t="shared" si="0" ref="BL4:BL21">IF(AD4=0," ",AU4)</f>
        <v> </v>
      </c>
      <c r="BM4" s="3" t="str">
        <f aca="true" t="shared" si="1" ref="BM4:CB19">IF(AE4=0," ",AV4)</f>
        <v> </v>
      </c>
      <c r="BN4" s="3" t="str">
        <f t="shared" si="1"/>
        <v> </v>
      </c>
      <c r="BO4" s="3" t="str">
        <f t="shared" si="1"/>
        <v> </v>
      </c>
      <c r="BP4" s="3" t="str">
        <f t="shared" si="1"/>
        <v> </v>
      </c>
      <c r="BQ4" s="3" t="str">
        <f t="shared" si="1"/>
        <v> </v>
      </c>
      <c r="BR4" s="3" t="str">
        <f t="shared" si="1"/>
        <v> </v>
      </c>
      <c r="BS4" s="3" t="str">
        <f t="shared" si="1"/>
        <v> </v>
      </c>
      <c r="BT4" s="3" t="str">
        <f t="shared" si="1"/>
        <v> </v>
      </c>
      <c r="BU4" s="3" t="str">
        <f t="shared" si="1"/>
        <v> </v>
      </c>
      <c r="BV4" s="3" t="str">
        <f t="shared" si="1"/>
        <v> </v>
      </c>
      <c r="BW4" s="3" t="str">
        <f t="shared" si="1"/>
        <v> </v>
      </c>
      <c r="BX4" s="3" t="str">
        <f t="shared" si="1"/>
        <v> </v>
      </c>
      <c r="BY4" s="3" t="str">
        <f t="shared" si="1"/>
        <v> </v>
      </c>
      <c r="BZ4" s="3" t="str">
        <f t="shared" si="1"/>
        <v> </v>
      </c>
      <c r="CA4" s="3" t="str">
        <f t="shared" si="1"/>
        <v> </v>
      </c>
      <c r="CB4" s="3" t="str">
        <f t="shared" si="1"/>
        <v> </v>
      </c>
      <c r="CC4" s="164">
        <f aca="true" t="shared" si="2" ref="CC4:CC21">IF(BL4=" ",0,ROUND(1/(1+(POWER(10,(-1*($AB4-AD4)/400)))),3))</f>
        <v>0</v>
      </c>
      <c r="CD4" s="165">
        <f aca="true" t="shared" si="3" ref="CD4:CS19">IF(BM4=" ",0,ROUND(1/(1+(POWER(10,(-1*($AB4-AE4)/400)))),3))</f>
        <v>0</v>
      </c>
      <c r="CE4" s="165">
        <f t="shared" si="3"/>
        <v>0</v>
      </c>
      <c r="CF4" s="165">
        <f t="shared" si="3"/>
        <v>0</v>
      </c>
      <c r="CG4" s="165">
        <f t="shared" si="3"/>
        <v>0</v>
      </c>
      <c r="CH4" s="165">
        <f t="shared" si="3"/>
        <v>0</v>
      </c>
      <c r="CI4" s="165">
        <f t="shared" si="3"/>
        <v>0</v>
      </c>
      <c r="CJ4" s="165">
        <f t="shared" si="3"/>
        <v>0</v>
      </c>
      <c r="CK4" s="165">
        <f t="shared" si="3"/>
        <v>0</v>
      </c>
      <c r="CL4" s="165">
        <f t="shared" si="3"/>
        <v>0</v>
      </c>
      <c r="CM4" s="165">
        <f t="shared" si="3"/>
        <v>0</v>
      </c>
      <c r="CN4" s="165">
        <f t="shared" si="3"/>
        <v>0</v>
      </c>
      <c r="CO4" s="165">
        <f t="shared" si="3"/>
        <v>0</v>
      </c>
      <c r="CP4" s="165">
        <f t="shared" si="3"/>
        <v>0</v>
      </c>
      <c r="CQ4" s="165">
        <f t="shared" si="3"/>
        <v>0</v>
      </c>
      <c r="CR4" s="165">
        <f t="shared" si="3"/>
        <v>0</v>
      </c>
      <c r="CS4" s="165">
        <f t="shared" si="3"/>
        <v>0</v>
      </c>
      <c r="CT4" s="166">
        <f>SUM(CC4:CS4)</f>
        <v>0</v>
      </c>
      <c r="CU4" s="1">
        <f>1*((COUNTIF(BL4:CB4,0))+(COUNTIF(BL4:CB4,0.5))+(COUNTIF(BL4:CB4,1)))</f>
        <v>0</v>
      </c>
      <c r="CV4" s="157">
        <f>POWER((AB4/1000),4)+AC4</f>
        <v>15</v>
      </c>
      <c r="CW4" s="157">
        <f>IF(AC4=5,IF(CZ4&gt;=CT4,AB4/2000,1),1)</f>
        <v>1</v>
      </c>
      <c r="CX4" s="157">
        <f aca="true" t="shared" si="4" ref="CX4:CX21">IF(CZ4&gt;=CT4,0,IF((IF(AI4=5,IF(AH4&lt;1300,(POWER(2.71828,(1300-AH4)/150))-1,0),0))&gt;150,150,IF(AI4=5,IF(AH4&lt;1300,(POWER(2.71828,(1300-AH4)/150))-1,0),0)))</f>
        <v>0</v>
      </c>
      <c r="CY4" s="157">
        <f>IF(CX4&gt;0,IF((ROUND((CV4*CW4)+CX4,0))&lt;5,5,(ROUND((CV4*CW4)+CX4,0))),IF(IF((ROUND((CV4*CW4)+CX4,0))&lt;5,5,(ROUND((CV4*CW4)+CX4,0)))&gt;30,30,IF((ROUND((CV4*CW4)+CX4,0))&lt;5,5,(ROUND((CV4*CW4)+CX4,0)))))</f>
        <v>15</v>
      </c>
      <c r="CZ4" s="1">
        <f>SUM(BL4:CB4)</f>
        <v>0</v>
      </c>
      <c r="DA4" s="5">
        <f>IF(AB4=0,0,IF(CU4=0,AB4,ROUND(AB4+800*(CZ4-CT4)/(CY4+CU4),0)))</f>
        <v>0</v>
      </c>
    </row>
    <row r="5" spans="2:105" ht="19.5" customHeight="1">
      <c r="B5" s="45" t="str">
        <f>IF(D5=0," ","1.")</f>
        <v> </v>
      </c>
      <c r="C5" s="46" t="str">
        <f>VLOOKUP($T5,$I$5:$M$22,2,FALSE)</f>
        <v>Spieler 1</v>
      </c>
      <c r="D5" s="47">
        <f>VLOOKUP($T5,$I$5:$M$22,3,FALSE)</f>
        <v>0</v>
      </c>
      <c r="E5" s="55">
        <f>VLOOKUP($T5,$I$5:$M$22,4,FALSE)</f>
      </c>
      <c r="F5" s="63" t="str">
        <f>VLOOKUP($T5,$I$5:$M$22,5,FALSE)</f>
        <v> </v>
      </c>
      <c r="I5" s="45">
        <f>RANK(N5,$N$5:$N$22,0)</f>
        <v>1</v>
      </c>
      <c r="J5" s="46" t="str">
        <f>'Kreuztabelle 18'!C29</f>
        <v>Spieler 1</v>
      </c>
      <c r="K5" s="47">
        <f>IF(COUNT('Kreuztabelle 18'!D29:'Kreuztabelle 18'!U29)&gt;0,COUNT('Kreuztabelle 18'!D29:'Kreuztabelle 18'!U29),0)</f>
        <v>0</v>
      </c>
      <c r="L5" s="55">
        <f>'Kreuztabelle 18'!W29</f>
      </c>
      <c r="M5" s="63" t="str">
        <f>'Kreuztabelle 18'!V29</f>
        <v> </v>
      </c>
      <c r="N5">
        <f>IF(M5=" ",0.18,M5*100000+L5*1000-K5+0.18)</f>
        <v>0.18</v>
      </c>
      <c r="O5" s="65">
        <f aca="true" t="shared" si="5" ref="O5:O22">COUNTIF($P$5:$P$22,P5)</f>
        <v>18</v>
      </c>
      <c r="P5" s="65" t="e">
        <f>IF((D5+E5+F5)=0," ",1)</f>
        <v>#VALUE!</v>
      </c>
      <c r="Q5" s="66" t="e">
        <f>IF(O5=1,P5&amp;".",P5&amp;".- "&amp;(P5+O5-1)&amp;".")</f>
        <v>#VALUE!</v>
      </c>
      <c r="R5" s="66" t="str">
        <f aca="true" t="shared" si="6" ref="R5:R22">IF(SUM($D$5:$D$14)=0," ",Q5)</f>
        <v> </v>
      </c>
      <c r="T5" s="1">
        <v>1</v>
      </c>
      <c r="AA5" t="str">
        <f>Eingabe!C7</f>
        <v>Spieler 2</v>
      </c>
      <c r="AB5" s="1">
        <f>IF(Eingabe!E7=" ",0,Eingabe!E7)</f>
        <v>0</v>
      </c>
      <c r="AC5" s="1">
        <f>IF(Eingabe!D7=5,5,IF(Eingabe!D7=10,10,15))</f>
        <v>15</v>
      </c>
      <c r="AD5" s="163">
        <f>$AB$20</f>
        <v>0</v>
      </c>
      <c r="AE5" s="3">
        <f>$AB$18</f>
        <v>0</v>
      </c>
      <c r="AF5" s="3">
        <f>$AB$16</f>
        <v>0</v>
      </c>
      <c r="AG5" s="3">
        <f>$AB$14</f>
        <v>0</v>
      </c>
      <c r="AH5" s="3">
        <f>$AB$12</f>
        <v>0</v>
      </c>
      <c r="AI5" s="3">
        <f>$AB$10</f>
        <v>0</v>
      </c>
      <c r="AJ5" s="3">
        <f>$AB$8</f>
        <v>0</v>
      </c>
      <c r="AK5" s="3">
        <f>$AB$6</f>
        <v>0</v>
      </c>
      <c r="AL5" s="3">
        <f>$AB$4</f>
        <v>0</v>
      </c>
      <c r="AM5" s="3">
        <f>$AB$19</f>
        <v>0</v>
      </c>
      <c r="AN5" s="3">
        <f>$AB$17</f>
        <v>0</v>
      </c>
      <c r="AO5" s="3">
        <f>$AB$15</f>
        <v>0</v>
      </c>
      <c r="AP5" s="3">
        <f>$AB$13</f>
        <v>0</v>
      </c>
      <c r="AQ5" s="3">
        <f>$AB$11</f>
        <v>0</v>
      </c>
      <c r="AR5" s="3">
        <f>$AB$9</f>
        <v>0</v>
      </c>
      <c r="AS5" s="3">
        <f>$AB$7</f>
        <v>0</v>
      </c>
      <c r="AT5" s="3">
        <f>$AB$21</f>
        <v>0</v>
      </c>
      <c r="AU5" s="163" t="str">
        <f>'18 Spieler'!$I$13</f>
        <v> </v>
      </c>
      <c r="AV5" s="3" t="str">
        <f>'18 Spieler'!$Q$14</f>
        <v> </v>
      </c>
      <c r="AW5" s="3" t="str">
        <f>'18 Spieler'!$Y$15</f>
        <v> </v>
      </c>
      <c r="AX5" s="3" t="str">
        <f>'18 Spieler'!$AG$16</f>
        <v> </v>
      </c>
      <c r="AY5" s="3" t="str">
        <f>'18 Spieler'!$AO$17</f>
        <v> </v>
      </c>
      <c r="AZ5" s="3" t="str">
        <f>'18 Spieler'!$I$31</f>
        <v> </v>
      </c>
      <c r="BA5" s="3" t="str">
        <f>'18 Spieler'!$Q$32</f>
        <v> </v>
      </c>
      <c r="BB5" s="3" t="str">
        <f>'18 Spieler'!$Y$33</f>
        <v> </v>
      </c>
      <c r="BC5" s="3" t="str">
        <f>'18 Spieler'!$AE$33</f>
        <v> </v>
      </c>
      <c r="BD5" s="3" t="str">
        <f>'18 Spieler'!$AM$32</f>
        <v> </v>
      </c>
      <c r="BE5" s="3" t="str">
        <f>'18 Spieler'!$G$44</f>
        <v> </v>
      </c>
      <c r="BF5" s="3" t="str">
        <f>'18 Spieler'!$O$43</f>
        <v> </v>
      </c>
      <c r="BG5" s="3" t="str">
        <f>'18 Spieler'!$W$42</f>
        <v> </v>
      </c>
      <c r="BH5" s="3" t="str">
        <f>'18 Spieler'!$AE$41</f>
        <v> </v>
      </c>
      <c r="BI5" s="3" t="str">
        <f>'18 Spieler'!$AM$40</f>
        <v> </v>
      </c>
      <c r="BJ5" s="3" t="str">
        <f>'18 Spieler'!$G$52</f>
        <v> </v>
      </c>
      <c r="BK5" s="3" t="str">
        <f>'18 Spieler'!$O$51</f>
        <v> </v>
      </c>
      <c r="BL5" s="163" t="str">
        <f t="shared" si="0"/>
        <v> </v>
      </c>
      <c r="BM5" s="3" t="str">
        <f t="shared" si="1"/>
        <v> </v>
      </c>
      <c r="BN5" s="3" t="str">
        <f t="shared" si="1"/>
        <v> </v>
      </c>
      <c r="BO5" s="3" t="str">
        <f t="shared" si="1"/>
        <v> </v>
      </c>
      <c r="BP5" s="3" t="str">
        <f t="shared" si="1"/>
        <v> </v>
      </c>
      <c r="BQ5" s="3" t="str">
        <f t="shared" si="1"/>
        <v> </v>
      </c>
      <c r="BR5" s="3" t="str">
        <f t="shared" si="1"/>
        <v> </v>
      </c>
      <c r="BS5" s="3" t="str">
        <f t="shared" si="1"/>
        <v> </v>
      </c>
      <c r="BT5" s="3" t="str">
        <f t="shared" si="1"/>
        <v> </v>
      </c>
      <c r="BU5" s="3" t="str">
        <f t="shared" si="1"/>
        <v> </v>
      </c>
      <c r="BV5" s="3" t="str">
        <f t="shared" si="1"/>
        <v> </v>
      </c>
      <c r="BW5" s="3" t="str">
        <f t="shared" si="1"/>
        <v> </v>
      </c>
      <c r="BX5" s="3" t="str">
        <f t="shared" si="1"/>
        <v> </v>
      </c>
      <c r="BY5" s="3" t="str">
        <f t="shared" si="1"/>
        <v> </v>
      </c>
      <c r="BZ5" s="3" t="str">
        <f t="shared" si="1"/>
        <v> </v>
      </c>
      <c r="CA5" s="3" t="str">
        <f t="shared" si="1"/>
        <v> </v>
      </c>
      <c r="CB5" s="3" t="str">
        <f t="shared" si="1"/>
        <v> </v>
      </c>
      <c r="CC5" s="164">
        <f t="shared" si="2"/>
        <v>0</v>
      </c>
      <c r="CD5" s="165">
        <f t="shared" si="3"/>
        <v>0</v>
      </c>
      <c r="CE5" s="165">
        <f t="shared" si="3"/>
        <v>0</v>
      </c>
      <c r="CF5" s="165">
        <f t="shared" si="3"/>
        <v>0</v>
      </c>
      <c r="CG5" s="165">
        <f t="shared" si="3"/>
        <v>0</v>
      </c>
      <c r="CH5" s="165">
        <f t="shared" si="3"/>
        <v>0</v>
      </c>
      <c r="CI5" s="165">
        <f t="shared" si="3"/>
        <v>0</v>
      </c>
      <c r="CJ5" s="165">
        <f t="shared" si="3"/>
        <v>0</v>
      </c>
      <c r="CK5" s="165">
        <f t="shared" si="3"/>
        <v>0</v>
      </c>
      <c r="CL5" s="165">
        <f t="shared" si="3"/>
        <v>0</v>
      </c>
      <c r="CM5" s="165">
        <f t="shared" si="3"/>
        <v>0</v>
      </c>
      <c r="CN5" s="165">
        <f t="shared" si="3"/>
        <v>0</v>
      </c>
      <c r="CO5" s="165">
        <f t="shared" si="3"/>
        <v>0</v>
      </c>
      <c r="CP5" s="165">
        <f t="shared" si="3"/>
        <v>0</v>
      </c>
      <c r="CQ5" s="165">
        <f t="shared" si="3"/>
        <v>0</v>
      </c>
      <c r="CR5" s="165">
        <f t="shared" si="3"/>
        <v>0</v>
      </c>
      <c r="CS5" s="165">
        <f t="shared" si="3"/>
        <v>0</v>
      </c>
      <c r="CT5" s="166">
        <f aca="true" t="shared" si="7" ref="CT5:CT20">SUM(CC5:CS5)</f>
        <v>0</v>
      </c>
      <c r="CU5" s="1">
        <f aca="true" t="shared" si="8" ref="CU5:CU20">1*((COUNTIF(BL5:CB5,0))+(COUNTIF(BL5:CB5,0.5))+(COUNTIF(BL5:CB5,1)))</f>
        <v>0</v>
      </c>
      <c r="CV5" s="157">
        <f aca="true" t="shared" si="9" ref="CV5:CV21">POWER((AB5/1000),4)+AC5</f>
        <v>15</v>
      </c>
      <c r="CW5" s="157">
        <f aca="true" t="shared" si="10" ref="CW5:CW21">IF(AC5=5,IF(CZ5&gt;=CT5,AB5/2000,1),1)</f>
        <v>1</v>
      </c>
      <c r="CX5" s="157">
        <f t="shared" si="4"/>
        <v>0</v>
      </c>
      <c r="CY5" s="157">
        <f aca="true" t="shared" si="11" ref="CY5:CY21">IF(CX5&gt;0,IF((ROUND((CV5*CW5)+CX5,0))&lt;5,5,(ROUND((CV5*CW5)+CX5,0))),IF(IF((ROUND((CV5*CW5)+CX5,0))&lt;5,5,(ROUND((CV5*CW5)+CX5,0)))&gt;30,30,IF((ROUND((CV5*CW5)+CX5,0))&lt;5,5,(ROUND((CV5*CW5)+CX5,0)))))</f>
        <v>15</v>
      </c>
      <c r="CZ5" s="1">
        <f aca="true" t="shared" si="12" ref="CZ5:CZ20">SUM(BL5:CB5)</f>
        <v>0</v>
      </c>
      <c r="DA5" s="5">
        <f aca="true" t="shared" si="13" ref="DA5:DA13">IF(AB5=0,0,IF(CU5=0,AB5,ROUND(AB5+800*(CZ5-CT5)/(CY5+CU5),0)))</f>
        <v>0</v>
      </c>
    </row>
    <row r="6" spans="2:105" ht="19.5" customHeight="1">
      <c r="B6" s="45">
        <f>IF(AND(D5=D6,E5=E6,F5=F6),"","2.")</f>
      </c>
      <c r="C6" s="46" t="str">
        <f aca="true" t="shared" si="14" ref="C6:C22">VLOOKUP($T6,$I$5:$M$22,2,FALSE)</f>
        <v>Spieler 2</v>
      </c>
      <c r="D6" s="47">
        <f aca="true" t="shared" si="15" ref="D6:D22">VLOOKUP($T6,$I$5:$M$22,3,FALSE)</f>
        <v>0</v>
      </c>
      <c r="E6" s="55">
        <f aca="true" t="shared" si="16" ref="E6:E22">VLOOKUP($T6,$I$5:$M$22,4,FALSE)</f>
      </c>
      <c r="F6" s="63" t="str">
        <f aca="true" t="shared" si="17" ref="F6:F22">VLOOKUP($T6,$I$5:$M$22,5,FALSE)</f>
        <v> </v>
      </c>
      <c r="I6" s="45">
        <f aca="true" t="shared" si="18" ref="I6:I22">RANK(N6,$N$5:$N$22,0)</f>
        <v>2</v>
      </c>
      <c r="J6" s="46" t="str">
        <f>'Kreuztabelle 18'!C30</f>
        <v>Spieler 2</v>
      </c>
      <c r="K6" s="47">
        <f>IF(COUNT('Kreuztabelle 18'!D30:'Kreuztabelle 18'!U30)&gt;0,COUNT('Kreuztabelle 18'!D30:'Kreuztabelle 18'!U30),0)</f>
        <v>0</v>
      </c>
      <c r="L6" s="55">
        <f>'Kreuztabelle 18'!W30</f>
      </c>
      <c r="M6" s="63" t="str">
        <f>'Kreuztabelle 18'!V30</f>
        <v> </v>
      </c>
      <c r="N6">
        <f>IF(M6=" ",0.17,M6*100000+L6*1000-K6+0.176)</f>
        <v>0.17</v>
      </c>
      <c r="O6" s="65">
        <f t="shared" si="5"/>
        <v>18</v>
      </c>
      <c r="P6" s="65" t="e">
        <f>IF(AND(D5=D6,E5=E6,F5=F6),P5,2)</f>
        <v>#VALUE!</v>
      </c>
      <c r="Q6" s="66" t="e">
        <f aca="true" t="shared" si="19" ref="Q6:Q21">IF(O6=1,P6&amp;".",P6&amp;".- "&amp;(P6+O6-1)&amp;".")</f>
        <v>#VALUE!</v>
      </c>
      <c r="R6" s="66" t="str">
        <f t="shared" si="6"/>
        <v> </v>
      </c>
      <c r="T6" s="1">
        <v>2</v>
      </c>
      <c r="AA6" t="str">
        <f>Eingabe!C8</f>
        <v>Spieler 3</v>
      </c>
      <c r="AB6" s="1">
        <f>IF(Eingabe!E8=" ",0,Eingabe!E8)</f>
        <v>0</v>
      </c>
      <c r="AC6" s="1">
        <f>IF(Eingabe!D8=5,5,IF(Eingabe!D8=10,10,15))</f>
        <v>15</v>
      </c>
      <c r="AD6" s="163">
        <f>$AB$19</f>
        <v>0</v>
      </c>
      <c r="AE6" s="3">
        <f>$AB$17</f>
        <v>0</v>
      </c>
      <c r="AF6" s="3">
        <f>$AB$15</f>
        <v>0</v>
      </c>
      <c r="AG6" s="3">
        <f>$AB$13</f>
        <v>0</v>
      </c>
      <c r="AH6" s="3">
        <f>$AB$11</f>
        <v>0</v>
      </c>
      <c r="AI6" s="3">
        <f>$AB$9</f>
        <v>0</v>
      </c>
      <c r="AJ6" s="3">
        <f>$AB$7</f>
        <v>0</v>
      </c>
      <c r="AK6" s="3">
        <f>$AB$5</f>
        <v>0</v>
      </c>
      <c r="AL6" s="3">
        <f>$AB$20</f>
        <v>0</v>
      </c>
      <c r="AM6" s="3">
        <f>$AB$18</f>
        <v>0</v>
      </c>
      <c r="AN6" s="3">
        <f>$AB$16</f>
        <v>0</v>
      </c>
      <c r="AO6" s="3">
        <f>$AB$14</f>
        <v>0</v>
      </c>
      <c r="AP6" s="3">
        <f>$AB$12</f>
        <v>0</v>
      </c>
      <c r="AQ6" s="3">
        <f>$AB$10</f>
        <v>0</v>
      </c>
      <c r="AR6" s="3">
        <f>$AB$8</f>
        <v>0</v>
      </c>
      <c r="AS6" s="3">
        <f>$AB$21</f>
        <v>0</v>
      </c>
      <c r="AT6" s="3">
        <f>$AB$4</f>
        <v>0</v>
      </c>
      <c r="AU6" s="163" t="str">
        <f>'18 Spieler'!$I$14</f>
        <v> </v>
      </c>
      <c r="AV6" s="3" t="str">
        <f>'18 Spieler'!$Q$15</f>
        <v> </v>
      </c>
      <c r="AW6" s="3" t="str">
        <f>'18 Spieler'!$Y$16</f>
        <v> </v>
      </c>
      <c r="AX6" s="3" t="str">
        <f>'18 Spieler'!$AG$17</f>
        <v> </v>
      </c>
      <c r="AY6" s="3" t="str">
        <f>'18 Spieler'!$AO$18</f>
        <v> </v>
      </c>
      <c r="AZ6" s="3" t="str">
        <f>'18 Spieler'!$I$32</f>
        <v> </v>
      </c>
      <c r="BA6" s="3" t="str">
        <f>'18 Spieler'!$Q$33</f>
        <v> </v>
      </c>
      <c r="BB6" s="3" t="str">
        <f>'18 Spieler'!$W$33</f>
        <v> </v>
      </c>
      <c r="BC6" s="3" t="str">
        <f>'18 Spieler'!$AE$32</f>
        <v> </v>
      </c>
      <c r="BD6" s="3" t="str">
        <f>'18 Spieler'!$AM$31</f>
        <v> </v>
      </c>
      <c r="BE6" s="3" t="str">
        <f>'18 Spieler'!$G$43</f>
        <v> </v>
      </c>
      <c r="BF6" s="3" t="str">
        <f>'18 Spieler'!$O$42</f>
        <v> </v>
      </c>
      <c r="BG6" s="3" t="str">
        <f>'18 Spieler'!$W$41</f>
        <v> </v>
      </c>
      <c r="BH6" s="3" t="str">
        <f>'18 Spieler'!$AE$40</f>
        <v> </v>
      </c>
      <c r="BI6" s="3" t="str">
        <f>'18 Spieler'!$AM$39</f>
        <v> </v>
      </c>
      <c r="BJ6" s="3" t="str">
        <f>'18 Spieler'!$G$51</f>
        <v> </v>
      </c>
      <c r="BK6" s="3" t="str">
        <f>'18 Spieler'!$Q$52</f>
        <v> </v>
      </c>
      <c r="BL6" s="163" t="str">
        <f t="shared" si="0"/>
        <v> </v>
      </c>
      <c r="BM6" s="3" t="str">
        <f t="shared" si="1"/>
        <v> </v>
      </c>
      <c r="BN6" s="3" t="str">
        <f t="shared" si="1"/>
        <v> </v>
      </c>
      <c r="BO6" s="3" t="str">
        <f t="shared" si="1"/>
        <v> </v>
      </c>
      <c r="BP6" s="3" t="str">
        <f t="shared" si="1"/>
        <v> </v>
      </c>
      <c r="BQ6" s="3" t="str">
        <f t="shared" si="1"/>
        <v> </v>
      </c>
      <c r="BR6" s="3" t="str">
        <f t="shared" si="1"/>
        <v> </v>
      </c>
      <c r="BS6" s="3" t="str">
        <f t="shared" si="1"/>
        <v> </v>
      </c>
      <c r="BT6" s="3" t="str">
        <f t="shared" si="1"/>
        <v> </v>
      </c>
      <c r="BU6" s="3" t="str">
        <f t="shared" si="1"/>
        <v> </v>
      </c>
      <c r="BV6" s="3" t="str">
        <f t="shared" si="1"/>
        <v> </v>
      </c>
      <c r="BW6" s="3" t="str">
        <f t="shared" si="1"/>
        <v> </v>
      </c>
      <c r="BX6" s="3" t="str">
        <f t="shared" si="1"/>
        <v> </v>
      </c>
      <c r="BY6" s="3" t="str">
        <f t="shared" si="1"/>
        <v> </v>
      </c>
      <c r="BZ6" s="3" t="str">
        <f t="shared" si="1"/>
        <v> </v>
      </c>
      <c r="CA6" s="3" t="str">
        <f t="shared" si="1"/>
        <v> </v>
      </c>
      <c r="CB6" s="3" t="str">
        <f t="shared" si="1"/>
        <v> </v>
      </c>
      <c r="CC6" s="164">
        <f t="shared" si="2"/>
        <v>0</v>
      </c>
      <c r="CD6" s="165">
        <f t="shared" si="3"/>
        <v>0</v>
      </c>
      <c r="CE6" s="165">
        <f t="shared" si="3"/>
        <v>0</v>
      </c>
      <c r="CF6" s="165">
        <f t="shared" si="3"/>
        <v>0</v>
      </c>
      <c r="CG6" s="165">
        <f t="shared" si="3"/>
        <v>0</v>
      </c>
      <c r="CH6" s="165">
        <f t="shared" si="3"/>
        <v>0</v>
      </c>
      <c r="CI6" s="165">
        <f t="shared" si="3"/>
        <v>0</v>
      </c>
      <c r="CJ6" s="165">
        <f t="shared" si="3"/>
        <v>0</v>
      </c>
      <c r="CK6" s="165">
        <f t="shared" si="3"/>
        <v>0</v>
      </c>
      <c r="CL6" s="165">
        <f t="shared" si="3"/>
        <v>0</v>
      </c>
      <c r="CM6" s="165">
        <f t="shared" si="3"/>
        <v>0</v>
      </c>
      <c r="CN6" s="165">
        <f t="shared" si="3"/>
        <v>0</v>
      </c>
      <c r="CO6" s="165">
        <f t="shared" si="3"/>
        <v>0</v>
      </c>
      <c r="CP6" s="165">
        <f t="shared" si="3"/>
        <v>0</v>
      </c>
      <c r="CQ6" s="165">
        <f t="shared" si="3"/>
        <v>0</v>
      </c>
      <c r="CR6" s="165">
        <f t="shared" si="3"/>
        <v>0</v>
      </c>
      <c r="CS6" s="165">
        <f t="shared" si="3"/>
        <v>0</v>
      </c>
      <c r="CT6" s="166">
        <f t="shared" si="7"/>
        <v>0</v>
      </c>
      <c r="CU6" s="1">
        <f t="shared" si="8"/>
        <v>0</v>
      </c>
      <c r="CV6" s="157">
        <f t="shared" si="9"/>
        <v>15</v>
      </c>
      <c r="CW6" s="157">
        <f t="shared" si="10"/>
        <v>1</v>
      </c>
      <c r="CX6" s="157">
        <f t="shared" si="4"/>
        <v>0</v>
      </c>
      <c r="CY6" s="157">
        <f t="shared" si="11"/>
        <v>15</v>
      </c>
      <c r="CZ6" s="1">
        <f t="shared" si="12"/>
        <v>0</v>
      </c>
      <c r="DA6" s="5">
        <f t="shared" si="13"/>
        <v>0</v>
      </c>
    </row>
    <row r="7" spans="2:105" ht="19.5" customHeight="1">
      <c r="B7" s="45">
        <f>IF(AND(D6=D7,E6=E7,F6=F7),"","3.")</f>
      </c>
      <c r="C7" s="46" t="str">
        <f t="shared" si="14"/>
        <v>Spieler 3</v>
      </c>
      <c r="D7" s="47">
        <f t="shared" si="15"/>
        <v>0</v>
      </c>
      <c r="E7" s="55">
        <f t="shared" si="16"/>
      </c>
      <c r="F7" s="63" t="str">
        <f t="shared" si="17"/>
        <v> </v>
      </c>
      <c r="I7" s="45">
        <f t="shared" si="18"/>
        <v>3</v>
      </c>
      <c r="J7" s="46" t="str">
        <f>'Kreuztabelle 18'!C31</f>
        <v>Spieler 3</v>
      </c>
      <c r="K7" s="47">
        <f>IF(COUNT('Kreuztabelle 18'!D31:'Kreuztabelle 18'!U31)&gt;0,COUNT('Kreuztabelle 18'!D31:'Kreuztabelle 18'!U31),0)</f>
        <v>0</v>
      </c>
      <c r="L7" s="55">
        <f>'Kreuztabelle 18'!W31</f>
      </c>
      <c r="M7" s="63" t="str">
        <f>'Kreuztabelle 18'!V31</f>
        <v> </v>
      </c>
      <c r="N7">
        <f>IF(M7=" ",0.16,M7*100000+L7*1000-K7+0.16)</f>
        <v>0.16</v>
      </c>
      <c r="O7" s="65">
        <f t="shared" si="5"/>
        <v>18</v>
      </c>
      <c r="P7" s="65" t="e">
        <f>IF(AND(D6=D7,E6=E7,F6=F7),P6,3)</f>
        <v>#VALUE!</v>
      </c>
      <c r="Q7" s="66" t="e">
        <f t="shared" si="19"/>
        <v>#VALUE!</v>
      </c>
      <c r="R7" s="66" t="str">
        <f t="shared" si="6"/>
        <v> </v>
      </c>
      <c r="T7" s="1">
        <v>3</v>
      </c>
      <c r="AA7" t="str">
        <f>Eingabe!C9</f>
        <v>Spieler 4</v>
      </c>
      <c r="AB7" s="1">
        <f>IF(Eingabe!E9=" ",0,Eingabe!E9)</f>
        <v>0</v>
      </c>
      <c r="AC7" s="1">
        <f>IF(Eingabe!D9=5,5,IF(Eingabe!D9=10,10,15))</f>
        <v>15</v>
      </c>
      <c r="AD7" s="163">
        <f>$AB$18</f>
        <v>0</v>
      </c>
      <c r="AE7" s="3">
        <f>$AB$16</f>
        <v>0</v>
      </c>
      <c r="AF7" s="3">
        <f>$AB$14</f>
        <v>0</v>
      </c>
      <c r="AG7" s="3">
        <f>$AB$12</f>
        <v>0</v>
      </c>
      <c r="AH7" s="3">
        <f>$AB$10</f>
        <v>0</v>
      </c>
      <c r="AI7" s="3">
        <f>$AB$8</f>
        <v>0</v>
      </c>
      <c r="AJ7" s="3">
        <f>$AB$6</f>
        <v>0</v>
      </c>
      <c r="AK7" s="3">
        <f>$AB$4</f>
        <v>0</v>
      </c>
      <c r="AL7" s="3">
        <f>$AB$19</f>
        <v>0</v>
      </c>
      <c r="AM7" s="3">
        <f>$AB$17</f>
        <v>0</v>
      </c>
      <c r="AN7" s="3">
        <f>$AB$15</f>
        <v>0</v>
      </c>
      <c r="AO7" s="3">
        <f>$AB$13</f>
        <v>0</v>
      </c>
      <c r="AP7" s="3">
        <f>$AB$11</f>
        <v>0</v>
      </c>
      <c r="AQ7" s="3">
        <f>$AB$9</f>
        <v>0</v>
      </c>
      <c r="AR7" s="3">
        <f>$AB$21</f>
        <v>0</v>
      </c>
      <c r="AS7" s="3">
        <f>$AB$5</f>
        <v>0</v>
      </c>
      <c r="AT7" s="3">
        <f>$AB$20</f>
        <v>0</v>
      </c>
      <c r="AU7" s="163" t="str">
        <f>'18 Spieler'!$I$15</f>
        <v> </v>
      </c>
      <c r="AV7" s="3" t="str">
        <f>'18 Spieler'!$Q$16</f>
        <v> </v>
      </c>
      <c r="AW7" s="3" t="str">
        <f>'18 Spieler'!$Y$17</f>
        <v> </v>
      </c>
      <c r="AX7" s="3" t="str">
        <f>'18 Spieler'!$AG$18</f>
        <v> </v>
      </c>
      <c r="AY7" s="3" t="str">
        <f>'18 Spieler'!$AO$19</f>
        <v> </v>
      </c>
      <c r="AZ7" s="3" t="str">
        <f>'18 Spieler'!$I$33</f>
        <v> </v>
      </c>
      <c r="BA7" s="3" t="str">
        <f>'18 Spieler'!$O$33</f>
        <v> </v>
      </c>
      <c r="BB7" s="3" t="str">
        <f>'18 Spieler'!$W$32</f>
        <v> </v>
      </c>
      <c r="BC7" s="3" t="str">
        <f>'18 Spieler'!$AE$31</f>
        <v> </v>
      </c>
      <c r="BD7" s="3" t="str">
        <f>'18 Spieler'!$AM$30</f>
        <v> </v>
      </c>
      <c r="BE7" s="3" t="str">
        <f>'18 Spieler'!$G$42</f>
        <v> </v>
      </c>
      <c r="BF7" s="3" t="str">
        <f>'18 Spieler'!$O$41</f>
        <v> </v>
      </c>
      <c r="BG7" s="3" t="str">
        <f>'18 Spieler'!$W$40</f>
        <v> </v>
      </c>
      <c r="BH7" s="3" t="str">
        <f>'18 Spieler'!$AE$39</f>
        <v> </v>
      </c>
      <c r="BI7" s="3" t="str">
        <f>'18 Spieler'!$AM$38</f>
        <v> </v>
      </c>
      <c r="BJ7" s="3" t="str">
        <f>'18 Spieler'!$I$52</f>
        <v> </v>
      </c>
      <c r="BK7" s="3" t="str">
        <f>'18 Spieler'!$Q$53</f>
        <v> </v>
      </c>
      <c r="BL7" s="163" t="str">
        <f t="shared" si="0"/>
        <v> </v>
      </c>
      <c r="BM7" s="3" t="str">
        <f t="shared" si="1"/>
        <v> </v>
      </c>
      <c r="BN7" s="3" t="str">
        <f t="shared" si="1"/>
        <v> </v>
      </c>
      <c r="BO7" s="3" t="str">
        <f t="shared" si="1"/>
        <v> </v>
      </c>
      <c r="BP7" s="3" t="str">
        <f t="shared" si="1"/>
        <v> </v>
      </c>
      <c r="BQ7" s="3" t="str">
        <f t="shared" si="1"/>
        <v> </v>
      </c>
      <c r="BR7" s="3" t="str">
        <f t="shared" si="1"/>
        <v> </v>
      </c>
      <c r="BS7" s="3" t="str">
        <f t="shared" si="1"/>
        <v> </v>
      </c>
      <c r="BT7" s="3" t="str">
        <f t="shared" si="1"/>
        <v> </v>
      </c>
      <c r="BU7" s="3" t="str">
        <f t="shared" si="1"/>
        <v> </v>
      </c>
      <c r="BV7" s="3" t="str">
        <f t="shared" si="1"/>
        <v> </v>
      </c>
      <c r="BW7" s="3" t="str">
        <f t="shared" si="1"/>
        <v> </v>
      </c>
      <c r="BX7" s="3" t="str">
        <f t="shared" si="1"/>
        <v> </v>
      </c>
      <c r="BY7" s="3" t="str">
        <f t="shared" si="1"/>
        <v> </v>
      </c>
      <c r="BZ7" s="3" t="str">
        <f t="shared" si="1"/>
        <v> </v>
      </c>
      <c r="CA7" s="3" t="str">
        <f t="shared" si="1"/>
        <v> </v>
      </c>
      <c r="CB7" s="3" t="str">
        <f aca="true" t="shared" si="20" ref="CB7:CB21">IF(AT7=0," ",BK7)</f>
        <v> </v>
      </c>
      <c r="CC7" s="164">
        <f t="shared" si="2"/>
        <v>0</v>
      </c>
      <c r="CD7" s="165">
        <f t="shared" si="3"/>
        <v>0</v>
      </c>
      <c r="CE7" s="165">
        <f t="shared" si="3"/>
        <v>0</v>
      </c>
      <c r="CF7" s="165">
        <f t="shared" si="3"/>
        <v>0</v>
      </c>
      <c r="CG7" s="165">
        <f t="shared" si="3"/>
        <v>0</v>
      </c>
      <c r="CH7" s="165">
        <f t="shared" si="3"/>
        <v>0</v>
      </c>
      <c r="CI7" s="165">
        <f t="shared" si="3"/>
        <v>0</v>
      </c>
      <c r="CJ7" s="165">
        <f t="shared" si="3"/>
        <v>0</v>
      </c>
      <c r="CK7" s="165">
        <f t="shared" si="3"/>
        <v>0</v>
      </c>
      <c r="CL7" s="165">
        <f t="shared" si="3"/>
        <v>0</v>
      </c>
      <c r="CM7" s="165">
        <f t="shared" si="3"/>
        <v>0</v>
      </c>
      <c r="CN7" s="165">
        <f t="shared" si="3"/>
        <v>0</v>
      </c>
      <c r="CO7" s="165">
        <f t="shared" si="3"/>
        <v>0</v>
      </c>
      <c r="CP7" s="165">
        <f t="shared" si="3"/>
        <v>0</v>
      </c>
      <c r="CQ7" s="165">
        <f t="shared" si="3"/>
        <v>0</v>
      </c>
      <c r="CR7" s="165">
        <f t="shared" si="3"/>
        <v>0</v>
      </c>
      <c r="CS7" s="165">
        <f aca="true" t="shared" si="21" ref="CS7:CS21">IF(CB7=" ",0,ROUND(1/(1+(POWER(10,(-1*($AB7-AT7)/400)))),3))</f>
        <v>0</v>
      </c>
      <c r="CT7" s="166">
        <f t="shared" si="7"/>
        <v>0</v>
      </c>
      <c r="CU7" s="1">
        <f t="shared" si="8"/>
        <v>0</v>
      </c>
      <c r="CV7" s="157">
        <f t="shared" si="9"/>
        <v>15</v>
      </c>
      <c r="CW7" s="157">
        <f t="shared" si="10"/>
        <v>1</v>
      </c>
      <c r="CX7" s="157">
        <f t="shared" si="4"/>
        <v>0</v>
      </c>
      <c r="CY7" s="157">
        <f t="shared" si="11"/>
        <v>15</v>
      </c>
      <c r="CZ7" s="1">
        <f t="shared" si="12"/>
        <v>0</v>
      </c>
      <c r="DA7" s="5">
        <f t="shared" si="13"/>
        <v>0</v>
      </c>
    </row>
    <row r="8" spans="2:105" ht="19.5" customHeight="1">
      <c r="B8" s="45">
        <f>IF(AND(D7=D8,E7=E8,F7=F8),"","4.")</f>
      </c>
      <c r="C8" s="46" t="str">
        <f t="shared" si="14"/>
        <v>Spieler 4</v>
      </c>
      <c r="D8" s="47">
        <f t="shared" si="15"/>
        <v>0</v>
      </c>
      <c r="E8" s="55">
        <f t="shared" si="16"/>
      </c>
      <c r="F8" s="63" t="str">
        <f t="shared" si="17"/>
        <v> </v>
      </c>
      <c r="I8" s="45">
        <f t="shared" si="18"/>
        <v>4</v>
      </c>
      <c r="J8" s="46" t="str">
        <f>'Kreuztabelle 18'!C32</f>
        <v>Spieler 4</v>
      </c>
      <c r="K8" s="47">
        <f>IF(COUNT('Kreuztabelle 18'!D32:'Kreuztabelle 18'!U32)&gt;0,COUNT('Kreuztabelle 18'!D32:'Kreuztabelle 18'!U32),0)</f>
        <v>0</v>
      </c>
      <c r="L8" s="55">
        <f>'Kreuztabelle 18'!W32</f>
      </c>
      <c r="M8" s="63" t="str">
        <f>'Kreuztabelle 18'!V32</f>
        <v> </v>
      </c>
      <c r="N8">
        <f>IF(M8=" ",0.15,M8*100000+L8*1000-K8+0.15)</f>
        <v>0.15</v>
      </c>
      <c r="O8" s="65">
        <f t="shared" si="5"/>
        <v>18</v>
      </c>
      <c r="P8" s="65" t="e">
        <f>IF(AND(D7=D8,E7=E8,F7=F8),P7,4)</f>
        <v>#VALUE!</v>
      </c>
      <c r="Q8" s="66" t="e">
        <f t="shared" si="19"/>
        <v>#VALUE!</v>
      </c>
      <c r="R8" s="66" t="str">
        <f t="shared" si="6"/>
        <v> </v>
      </c>
      <c r="T8" s="1">
        <v>4</v>
      </c>
      <c r="AA8" t="str">
        <f>Eingabe!C10</f>
        <v>Spieler 5</v>
      </c>
      <c r="AB8" s="1">
        <f>IF(Eingabe!E10=" ",0,Eingabe!E10)</f>
        <v>0</v>
      </c>
      <c r="AC8" s="1">
        <f>IF(Eingabe!D10=5,5,IF(Eingabe!D10=10,10,15))</f>
        <v>15</v>
      </c>
      <c r="AD8" s="163">
        <f>$AB$17</f>
        <v>0</v>
      </c>
      <c r="AE8" s="3">
        <f>$AB$15</f>
        <v>0</v>
      </c>
      <c r="AF8" s="3">
        <f>$AB$13</f>
        <v>0</v>
      </c>
      <c r="AG8" s="3">
        <f>$AB$11</f>
        <v>0</v>
      </c>
      <c r="AH8" s="3">
        <f>$AB$9</f>
        <v>0</v>
      </c>
      <c r="AI8" s="3">
        <f>$AB$7</f>
        <v>0</v>
      </c>
      <c r="AJ8" s="3">
        <f>$AB$5</f>
        <v>0</v>
      </c>
      <c r="AK8" s="3">
        <f>$AB$20</f>
        <v>0</v>
      </c>
      <c r="AL8" s="3">
        <f>$AB$18</f>
        <v>0</v>
      </c>
      <c r="AM8" s="3">
        <f>$AB$16</f>
        <v>0</v>
      </c>
      <c r="AN8" s="3">
        <f>$AB$14</f>
        <v>0</v>
      </c>
      <c r="AO8" s="3">
        <f>$AB$12</f>
        <v>0</v>
      </c>
      <c r="AP8" s="3">
        <f>$AB$10</f>
        <v>0</v>
      </c>
      <c r="AQ8" s="3">
        <f>$AB$21</f>
        <v>0</v>
      </c>
      <c r="AR8" s="3">
        <f>$AB$6</f>
        <v>0</v>
      </c>
      <c r="AS8" s="3">
        <f>$AB$4</f>
        <v>0</v>
      </c>
      <c r="AT8" s="3">
        <f>$AB$19</f>
        <v>0</v>
      </c>
      <c r="AU8" s="163" t="str">
        <f>'18 Spieler'!$I$16</f>
        <v> </v>
      </c>
      <c r="AV8" s="3" t="str">
        <f>'18 Spieler'!$Q$17</f>
        <v> </v>
      </c>
      <c r="AW8" s="3" t="str">
        <f>'18 Spieler'!$Y$18</f>
        <v> </v>
      </c>
      <c r="AX8" s="3" t="str">
        <f>'18 Spieler'!$AG$19</f>
        <v> </v>
      </c>
      <c r="AY8" s="3" t="str">
        <f>'18 Spieler'!$AO$20</f>
        <v> </v>
      </c>
      <c r="AZ8" s="3" t="str">
        <f>'18 Spieler'!$G$33</f>
        <v> </v>
      </c>
      <c r="BA8" s="3" t="str">
        <f>'18 Spieler'!$O$32</f>
        <v> </v>
      </c>
      <c r="BB8" s="3" t="str">
        <f>'18 Spieler'!$W$31</f>
        <v> </v>
      </c>
      <c r="BC8" s="3" t="str">
        <f>'18 Spieler'!$AE$30</f>
        <v> </v>
      </c>
      <c r="BD8" s="3" t="str">
        <f>'18 Spieler'!$AM$29</f>
        <v> </v>
      </c>
      <c r="BE8" s="3" t="str">
        <f>'18 Spieler'!$G$41</f>
        <v> </v>
      </c>
      <c r="BF8" s="3" t="str">
        <f>'18 Spieler'!$O$40</f>
        <v> </v>
      </c>
      <c r="BG8" s="3" t="str">
        <f>'18 Spieler'!$W$39</f>
        <v> </v>
      </c>
      <c r="BH8" s="3" t="str">
        <f>'18 Spieler'!$AE$38</f>
        <v> </v>
      </c>
      <c r="BI8" s="3" t="str">
        <f>'18 Spieler'!$AO$39</f>
        <v> </v>
      </c>
      <c r="BJ8" s="3" t="str">
        <f>'18 Spieler'!$I$53</f>
        <v> </v>
      </c>
      <c r="BK8" s="3" t="str">
        <f>'18 Spieler'!$Q$54</f>
        <v> </v>
      </c>
      <c r="BL8" s="163" t="str">
        <f t="shared" si="0"/>
        <v> </v>
      </c>
      <c r="BM8" s="3" t="str">
        <f t="shared" si="1"/>
        <v> </v>
      </c>
      <c r="BN8" s="3" t="str">
        <f t="shared" si="1"/>
        <v> </v>
      </c>
      <c r="BO8" s="3" t="str">
        <f t="shared" si="1"/>
        <v> </v>
      </c>
      <c r="BP8" s="3" t="str">
        <f t="shared" si="1"/>
        <v> </v>
      </c>
      <c r="BQ8" s="3" t="str">
        <f t="shared" si="1"/>
        <v> </v>
      </c>
      <c r="BR8" s="3" t="str">
        <f t="shared" si="1"/>
        <v> </v>
      </c>
      <c r="BS8" s="3" t="str">
        <f t="shared" si="1"/>
        <v> </v>
      </c>
      <c r="BT8" s="3" t="str">
        <f t="shared" si="1"/>
        <v> </v>
      </c>
      <c r="BU8" s="3" t="str">
        <f t="shared" si="1"/>
        <v> </v>
      </c>
      <c r="BV8" s="3" t="str">
        <f t="shared" si="1"/>
        <v> </v>
      </c>
      <c r="BW8" s="3" t="str">
        <f t="shared" si="1"/>
        <v> </v>
      </c>
      <c r="BX8" s="3" t="str">
        <f t="shared" si="1"/>
        <v> </v>
      </c>
      <c r="BY8" s="3" t="str">
        <f t="shared" si="1"/>
        <v> </v>
      </c>
      <c r="BZ8" s="3" t="str">
        <f t="shared" si="1"/>
        <v> </v>
      </c>
      <c r="CA8" s="3" t="str">
        <f t="shared" si="1"/>
        <v> </v>
      </c>
      <c r="CB8" s="3" t="str">
        <f t="shared" si="20"/>
        <v> </v>
      </c>
      <c r="CC8" s="164">
        <f t="shared" si="2"/>
        <v>0</v>
      </c>
      <c r="CD8" s="165">
        <f t="shared" si="3"/>
        <v>0</v>
      </c>
      <c r="CE8" s="165">
        <f t="shared" si="3"/>
        <v>0</v>
      </c>
      <c r="CF8" s="165">
        <f t="shared" si="3"/>
        <v>0</v>
      </c>
      <c r="CG8" s="165">
        <f t="shared" si="3"/>
        <v>0</v>
      </c>
      <c r="CH8" s="165">
        <f t="shared" si="3"/>
        <v>0</v>
      </c>
      <c r="CI8" s="165">
        <f t="shared" si="3"/>
        <v>0</v>
      </c>
      <c r="CJ8" s="165">
        <f t="shared" si="3"/>
        <v>0</v>
      </c>
      <c r="CK8" s="165">
        <f t="shared" si="3"/>
        <v>0</v>
      </c>
      <c r="CL8" s="165">
        <f t="shared" si="3"/>
        <v>0</v>
      </c>
      <c r="CM8" s="165">
        <f t="shared" si="3"/>
        <v>0</v>
      </c>
      <c r="CN8" s="165">
        <f t="shared" si="3"/>
        <v>0</v>
      </c>
      <c r="CO8" s="165">
        <f t="shared" si="3"/>
        <v>0</v>
      </c>
      <c r="CP8" s="165">
        <f t="shared" si="3"/>
        <v>0</v>
      </c>
      <c r="CQ8" s="165">
        <f t="shared" si="3"/>
        <v>0</v>
      </c>
      <c r="CR8" s="165">
        <f t="shared" si="3"/>
        <v>0</v>
      </c>
      <c r="CS8" s="165">
        <f t="shared" si="21"/>
        <v>0</v>
      </c>
      <c r="CT8" s="166">
        <f t="shared" si="7"/>
        <v>0</v>
      </c>
      <c r="CU8" s="1">
        <f t="shared" si="8"/>
        <v>0</v>
      </c>
      <c r="CV8" s="157">
        <f t="shared" si="9"/>
        <v>15</v>
      </c>
      <c r="CW8" s="157">
        <f t="shared" si="10"/>
        <v>1</v>
      </c>
      <c r="CX8" s="157">
        <f t="shared" si="4"/>
        <v>0</v>
      </c>
      <c r="CY8" s="157">
        <f t="shared" si="11"/>
        <v>15</v>
      </c>
      <c r="CZ8" s="1">
        <f t="shared" si="12"/>
        <v>0</v>
      </c>
      <c r="DA8" s="5">
        <f t="shared" si="13"/>
        <v>0</v>
      </c>
    </row>
    <row r="9" spans="2:105" ht="19.5" customHeight="1">
      <c r="B9" s="45">
        <f>IF(AND(D8=D9,E8=E9,F8=F9),"","5.")</f>
      </c>
      <c r="C9" s="46" t="str">
        <f t="shared" si="14"/>
        <v>Spieler 5</v>
      </c>
      <c r="D9" s="47">
        <f t="shared" si="15"/>
        <v>0</v>
      </c>
      <c r="E9" s="55">
        <f t="shared" si="16"/>
      </c>
      <c r="F9" s="63" t="str">
        <f t="shared" si="17"/>
        <v> </v>
      </c>
      <c r="I9" s="45">
        <f t="shared" si="18"/>
        <v>5</v>
      </c>
      <c r="J9" s="46" t="str">
        <f>'Kreuztabelle 18'!C33</f>
        <v>Spieler 5</v>
      </c>
      <c r="K9" s="47">
        <f>IF(COUNT('Kreuztabelle 18'!D33:'Kreuztabelle 18'!U33)&gt;0,COUNT('Kreuztabelle 18'!D33:'Kreuztabelle 18'!U33),0)</f>
        <v>0</v>
      </c>
      <c r="L9" s="55">
        <f>'Kreuztabelle 18'!W33</f>
      </c>
      <c r="M9" s="63" t="str">
        <f>'Kreuztabelle 18'!V33</f>
        <v> </v>
      </c>
      <c r="N9">
        <f>IF(M9=" ",0.14,M9*100000+L9*1000-K9+0.14)</f>
        <v>0.14</v>
      </c>
      <c r="O9" s="65">
        <f t="shared" si="5"/>
        <v>18</v>
      </c>
      <c r="P9" s="65" t="e">
        <f>IF(AND(D8=D9,E8=E9,F8=F9),P8,5)</f>
        <v>#VALUE!</v>
      </c>
      <c r="Q9" s="66" t="e">
        <f t="shared" si="19"/>
        <v>#VALUE!</v>
      </c>
      <c r="R9" s="66" t="str">
        <f t="shared" si="6"/>
        <v> </v>
      </c>
      <c r="T9" s="1">
        <v>5</v>
      </c>
      <c r="AA9" t="str">
        <f>Eingabe!C11</f>
        <v>Spieler 6</v>
      </c>
      <c r="AB9" s="1">
        <f>IF(Eingabe!E11=" ",0,Eingabe!E11)</f>
        <v>0</v>
      </c>
      <c r="AC9" s="1">
        <f>IF(Eingabe!D11=5,5,IF(Eingabe!D11=10,10,15))</f>
        <v>15</v>
      </c>
      <c r="AD9" s="163">
        <f>$AB$16</f>
        <v>0</v>
      </c>
      <c r="AE9" s="3">
        <f>$AB$14</f>
        <v>0</v>
      </c>
      <c r="AF9" s="3">
        <f>$AB$12</f>
        <v>0</v>
      </c>
      <c r="AG9" s="3">
        <f>$AB$10</f>
        <v>0</v>
      </c>
      <c r="AH9" s="3">
        <f>$AB$8</f>
        <v>0</v>
      </c>
      <c r="AI9" s="3">
        <f>$AB$6</f>
        <v>0</v>
      </c>
      <c r="AJ9" s="3">
        <f>$AB$4</f>
        <v>0</v>
      </c>
      <c r="AK9" s="3">
        <f>$AB$19</f>
        <v>0</v>
      </c>
      <c r="AL9" s="3">
        <f>$AB$17</f>
        <v>0</v>
      </c>
      <c r="AM9" s="3">
        <f>$AB$15</f>
        <v>0</v>
      </c>
      <c r="AN9" s="3">
        <f>$AB$13</f>
        <v>0</v>
      </c>
      <c r="AO9" s="3">
        <f>$AB$11</f>
        <v>0</v>
      </c>
      <c r="AP9" s="3">
        <f>$AB$21</f>
        <v>0</v>
      </c>
      <c r="AQ9" s="3">
        <f>$AB$7</f>
        <v>0</v>
      </c>
      <c r="AR9" s="3">
        <f>$AB$5</f>
        <v>0</v>
      </c>
      <c r="AS9" s="3">
        <f>$AB$20</f>
        <v>0</v>
      </c>
      <c r="AT9" s="3">
        <f>$AB$18</f>
        <v>0</v>
      </c>
      <c r="AU9" s="163" t="str">
        <f>'18 Spieler'!$I$17</f>
        <v> </v>
      </c>
      <c r="AV9" s="3" t="str">
        <f>'18 Spieler'!$Q$18</f>
        <v> </v>
      </c>
      <c r="AW9" s="3" t="str">
        <f>'18 Spieler'!$Y$19</f>
        <v> </v>
      </c>
      <c r="AX9" s="3" t="str">
        <f>'18 Spieler'!$AG$20</f>
        <v> </v>
      </c>
      <c r="AY9" s="3" t="str">
        <f>'18 Spieler'!$AM$20</f>
        <v> </v>
      </c>
      <c r="AZ9" s="3" t="str">
        <f>'18 Spieler'!$G$32</f>
        <v> </v>
      </c>
      <c r="BA9" s="3" t="str">
        <f>'18 Spieler'!$O$31</f>
        <v> </v>
      </c>
      <c r="BB9" s="3" t="str">
        <f>'18 Spieler'!$W$30</f>
        <v> </v>
      </c>
      <c r="BC9" s="3" t="str">
        <f>'18 Spieler'!$AE$29</f>
        <v> </v>
      </c>
      <c r="BD9" s="3" t="str">
        <f>'18 Spieler'!$AM$28</f>
        <v> </v>
      </c>
      <c r="BE9" s="3" t="str">
        <f>'18 Spieler'!$G$40</f>
        <v> </v>
      </c>
      <c r="BF9" s="3" t="str">
        <f>'18 Spieler'!$O$39</f>
        <v> </v>
      </c>
      <c r="BG9" s="3" t="str">
        <f>'18 Spieler'!$W$38</f>
        <v> </v>
      </c>
      <c r="BH9" s="3" t="str">
        <f>'18 Spieler'!$AG$39</f>
        <v> </v>
      </c>
      <c r="BI9" s="3" t="str">
        <f>'18 Spieler'!$AO$40</f>
        <v> </v>
      </c>
      <c r="BJ9" s="3" t="str">
        <f>'18 Spieler'!$I$54</f>
        <v> </v>
      </c>
      <c r="BK9" s="3" t="str">
        <f>'18 Spieler'!$Q$55</f>
        <v> </v>
      </c>
      <c r="BL9" s="163" t="str">
        <f t="shared" si="0"/>
        <v> </v>
      </c>
      <c r="BM9" s="3" t="str">
        <f t="shared" si="1"/>
        <v> </v>
      </c>
      <c r="BN9" s="3" t="str">
        <f t="shared" si="1"/>
        <v> </v>
      </c>
      <c r="BO9" s="3" t="str">
        <f t="shared" si="1"/>
        <v> </v>
      </c>
      <c r="BP9" s="3" t="str">
        <f t="shared" si="1"/>
        <v> </v>
      </c>
      <c r="BQ9" s="3" t="str">
        <f t="shared" si="1"/>
        <v> </v>
      </c>
      <c r="BR9" s="3" t="str">
        <f t="shared" si="1"/>
        <v> </v>
      </c>
      <c r="BS9" s="3" t="str">
        <f t="shared" si="1"/>
        <v> </v>
      </c>
      <c r="BT9" s="3" t="str">
        <f t="shared" si="1"/>
        <v> </v>
      </c>
      <c r="BU9" s="3" t="str">
        <f t="shared" si="1"/>
        <v> </v>
      </c>
      <c r="BV9" s="3" t="str">
        <f t="shared" si="1"/>
        <v> </v>
      </c>
      <c r="BW9" s="3" t="str">
        <f t="shared" si="1"/>
        <v> </v>
      </c>
      <c r="BX9" s="3" t="str">
        <f t="shared" si="1"/>
        <v> </v>
      </c>
      <c r="BY9" s="3" t="str">
        <f t="shared" si="1"/>
        <v> </v>
      </c>
      <c r="BZ9" s="3" t="str">
        <f t="shared" si="1"/>
        <v> </v>
      </c>
      <c r="CA9" s="3" t="str">
        <f t="shared" si="1"/>
        <v> </v>
      </c>
      <c r="CB9" s="3" t="str">
        <f t="shared" si="20"/>
        <v> </v>
      </c>
      <c r="CC9" s="164">
        <f t="shared" si="2"/>
        <v>0</v>
      </c>
      <c r="CD9" s="165">
        <f t="shared" si="3"/>
        <v>0</v>
      </c>
      <c r="CE9" s="165">
        <f t="shared" si="3"/>
        <v>0</v>
      </c>
      <c r="CF9" s="165">
        <f t="shared" si="3"/>
        <v>0</v>
      </c>
      <c r="CG9" s="165">
        <f t="shared" si="3"/>
        <v>0</v>
      </c>
      <c r="CH9" s="165">
        <f t="shared" si="3"/>
        <v>0</v>
      </c>
      <c r="CI9" s="165">
        <f t="shared" si="3"/>
        <v>0</v>
      </c>
      <c r="CJ9" s="165">
        <f t="shared" si="3"/>
        <v>0</v>
      </c>
      <c r="CK9" s="165">
        <f t="shared" si="3"/>
        <v>0</v>
      </c>
      <c r="CL9" s="165">
        <f t="shared" si="3"/>
        <v>0</v>
      </c>
      <c r="CM9" s="165">
        <f t="shared" si="3"/>
        <v>0</v>
      </c>
      <c r="CN9" s="165">
        <f t="shared" si="3"/>
        <v>0</v>
      </c>
      <c r="CO9" s="165">
        <f t="shared" si="3"/>
        <v>0</v>
      </c>
      <c r="CP9" s="165">
        <f t="shared" si="3"/>
        <v>0</v>
      </c>
      <c r="CQ9" s="165">
        <f t="shared" si="3"/>
        <v>0</v>
      </c>
      <c r="CR9" s="165">
        <f t="shared" si="3"/>
        <v>0</v>
      </c>
      <c r="CS9" s="165">
        <f t="shared" si="21"/>
        <v>0</v>
      </c>
      <c r="CT9" s="166">
        <f t="shared" si="7"/>
        <v>0</v>
      </c>
      <c r="CU9" s="1">
        <f t="shared" si="8"/>
        <v>0</v>
      </c>
      <c r="CV9" s="157">
        <f t="shared" si="9"/>
        <v>15</v>
      </c>
      <c r="CW9" s="157">
        <f t="shared" si="10"/>
        <v>1</v>
      </c>
      <c r="CX9" s="157">
        <f t="shared" si="4"/>
        <v>0</v>
      </c>
      <c r="CY9" s="157">
        <f t="shared" si="11"/>
        <v>15</v>
      </c>
      <c r="CZ9" s="1">
        <f t="shared" si="12"/>
        <v>0</v>
      </c>
      <c r="DA9" s="5">
        <f t="shared" si="13"/>
        <v>0</v>
      </c>
    </row>
    <row r="10" spans="2:105" ht="19.5" customHeight="1">
      <c r="B10" s="45">
        <f>IF(AND(D9=D10,E9=E10,F9=F10),"","6.")</f>
      </c>
      <c r="C10" s="46" t="str">
        <f t="shared" si="14"/>
        <v>Spieler 6</v>
      </c>
      <c r="D10" s="47">
        <f t="shared" si="15"/>
        <v>0</v>
      </c>
      <c r="E10" s="55">
        <f t="shared" si="16"/>
      </c>
      <c r="F10" s="63" t="str">
        <f t="shared" si="17"/>
        <v> </v>
      </c>
      <c r="I10" s="45">
        <f t="shared" si="18"/>
        <v>6</v>
      </c>
      <c r="J10" s="46" t="str">
        <f>'Kreuztabelle 18'!C34</f>
        <v>Spieler 6</v>
      </c>
      <c r="K10" s="47">
        <f>IF(COUNT('Kreuztabelle 18'!D34:'Kreuztabelle 18'!U34)&gt;0,COUNT('Kreuztabelle 18'!D34:'Kreuztabelle 18'!U34),0)</f>
        <v>0</v>
      </c>
      <c r="L10" s="55">
        <f>'Kreuztabelle 18'!W34</f>
      </c>
      <c r="M10" s="63" t="str">
        <f>'Kreuztabelle 18'!V34</f>
        <v> </v>
      </c>
      <c r="N10">
        <f>IF(M10=" ",0.13,M10*100000+L10*1000-K10+0.13)</f>
        <v>0.13</v>
      </c>
      <c r="O10" s="65">
        <f t="shared" si="5"/>
        <v>18</v>
      </c>
      <c r="P10" s="65" t="e">
        <f>IF(AND(D9=D10,E9=E10,F9=F10),P9,6)</f>
        <v>#VALUE!</v>
      </c>
      <c r="Q10" s="66" t="e">
        <f t="shared" si="19"/>
        <v>#VALUE!</v>
      </c>
      <c r="R10" s="66" t="str">
        <f t="shared" si="6"/>
        <v> </v>
      </c>
      <c r="T10" s="1">
        <v>6</v>
      </c>
      <c r="AA10" t="str">
        <f>Eingabe!C12</f>
        <v>Spieler 7</v>
      </c>
      <c r="AB10" s="1">
        <f>IF(Eingabe!E12=" ",0,Eingabe!E12)</f>
        <v>0</v>
      </c>
      <c r="AC10" s="1">
        <f>IF(Eingabe!D12=5,5,IF(Eingabe!D12=10,10,15))</f>
        <v>15</v>
      </c>
      <c r="AD10" s="163">
        <f>$AB$15</f>
        <v>0</v>
      </c>
      <c r="AE10" s="3">
        <f>$AB$13</f>
        <v>0</v>
      </c>
      <c r="AF10" s="3">
        <f>$AB$11</f>
        <v>0</v>
      </c>
      <c r="AG10" s="3">
        <f>$AB$9</f>
        <v>0</v>
      </c>
      <c r="AH10" s="3">
        <f>$AB$7</f>
        <v>0</v>
      </c>
      <c r="AI10" s="3">
        <f>$AB$5</f>
        <v>0</v>
      </c>
      <c r="AJ10" s="3">
        <f>$AB$20</f>
        <v>0</v>
      </c>
      <c r="AK10" s="3">
        <f>$AB$18</f>
        <v>0</v>
      </c>
      <c r="AL10" s="3">
        <f>$AB$16</f>
        <v>0</v>
      </c>
      <c r="AM10" s="3">
        <f>$AB$14</f>
        <v>0</v>
      </c>
      <c r="AN10" s="3">
        <f>$AB$12</f>
        <v>0</v>
      </c>
      <c r="AO10" s="3">
        <f>$AB$21</f>
        <v>0</v>
      </c>
      <c r="AP10" s="3">
        <f>$AB$8</f>
        <v>0</v>
      </c>
      <c r="AQ10" s="3">
        <f>$AB$6</f>
        <v>0</v>
      </c>
      <c r="AR10" s="3">
        <f>$AB$4</f>
        <v>0</v>
      </c>
      <c r="AS10" s="3">
        <f>$AB$19</f>
        <v>0</v>
      </c>
      <c r="AT10" s="3">
        <f>$AB$17</f>
        <v>0</v>
      </c>
      <c r="AU10" s="163" t="str">
        <f>'18 Spieler'!$I$18</f>
        <v> </v>
      </c>
      <c r="AV10" s="3" t="str">
        <f>'18 Spieler'!$Q$19</f>
        <v> </v>
      </c>
      <c r="AW10" s="3" t="str">
        <f>'18 Spieler'!$Y$20</f>
        <v> </v>
      </c>
      <c r="AX10" s="3" t="str">
        <f>'18 Spieler'!$AE$20</f>
        <v> </v>
      </c>
      <c r="AY10" s="3" t="str">
        <f>'18 Spieler'!$AM$19</f>
        <v> </v>
      </c>
      <c r="AZ10" s="3" t="str">
        <f>'18 Spieler'!$G$31</f>
        <v> </v>
      </c>
      <c r="BA10" s="3" t="str">
        <f>'18 Spieler'!$O$30</f>
        <v> </v>
      </c>
      <c r="BB10" s="3" t="str">
        <f>'18 Spieler'!$W$29</f>
        <v> </v>
      </c>
      <c r="BC10" s="3" t="str">
        <f>'18 Spieler'!$AE$28</f>
        <v> </v>
      </c>
      <c r="BD10" s="3" t="str">
        <f>'18 Spieler'!$AM$27</f>
        <v> </v>
      </c>
      <c r="BE10" s="3" t="str">
        <f>'18 Spieler'!$G$39</f>
        <v> </v>
      </c>
      <c r="BF10" s="3" t="str">
        <f>'18 Spieler'!$O$38</f>
        <v> </v>
      </c>
      <c r="BG10" s="3" t="str">
        <f>'18 Spieler'!$Y$39</f>
        <v> </v>
      </c>
      <c r="BH10" s="3" t="str">
        <f>'18 Spieler'!$AG$40</f>
        <v> </v>
      </c>
      <c r="BI10" s="3" t="str">
        <f>'18 Spieler'!$AO$41</f>
        <v> </v>
      </c>
      <c r="BJ10" s="3" t="str">
        <f>'18 Spieler'!$I$55</f>
        <v> </v>
      </c>
      <c r="BK10" s="3" t="str">
        <f>'18 Spieler'!$Q$56</f>
        <v> </v>
      </c>
      <c r="BL10" s="163" t="str">
        <f t="shared" si="0"/>
        <v> </v>
      </c>
      <c r="BM10" s="3" t="str">
        <f t="shared" si="1"/>
        <v> </v>
      </c>
      <c r="BN10" s="3" t="str">
        <f t="shared" si="1"/>
        <v> </v>
      </c>
      <c r="BO10" s="3" t="str">
        <f t="shared" si="1"/>
        <v> </v>
      </c>
      <c r="BP10" s="3" t="str">
        <f t="shared" si="1"/>
        <v> </v>
      </c>
      <c r="BQ10" s="3" t="str">
        <f t="shared" si="1"/>
        <v> </v>
      </c>
      <c r="BR10" s="3" t="str">
        <f t="shared" si="1"/>
        <v> </v>
      </c>
      <c r="BS10" s="3" t="str">
        <f t="shared" si="1"/>
        <v> </v>
      </c>
      <c r="BT10" s="3" t="str">
        <f t="shared" si="1"/>
        <v> </v>
      </c>
      <c r="BU10" s="3" t="str">
        <f t="shared" si="1"/>
        <v> </v>
      </c>
      <c r="BV10" s="3" t="str">
        <f t="shared" si="1"/>
        <v> </v>
      </c>
      <c r="BW10" s="3" t="str">
        <f t="shared" si="1"/>
        <v> </v>
      </c>
      <c r="BX10" s="3" t="str">
        <f t="shared" si="1"/>
        <v> </v>
      </c>
      <c r="BY10" s="3" t="str">
        <f t="shared" si="1"/>
        <v> </v>
      </c>
      <c r="BZ10" s="3" t="str">
        <f t="shared" si="1"/>
        <v> </v>
      </c>
      <c r="CA10" s="3" t="str">
        <f t="shared" si="1"/>
        <v> </v>
      </c>
      <c r="CB10" s="3" t="str">
        <f t="shared" si="20"/>
        <v> </v>
      </c>
      <c r="CC10" s="164">
        <f t="shared" si="2"/>
        <v>0</v>
      </c>
      <c r="CD10" s="165">
        <f t="shared" si="3"/>
        <v>0</v>
      </c>
      <c r="CE10" s="165">
        <f t="shared" si="3"/>
        <v>0</v>
      </c>
      <c r="CF10" s="165">
        <f t="shared" si="3"/>
        <v>0</v>
      </c>
      <c r="CG10" s="165">
        <f t="shared" si="3"/>
        <v>0</v>
      </c>
      <c r="CH10" s="165">
        <f t="shared" si="3"/>
        <v>0</v>
      </c>
      <c r="CI10" s="165">
        <f t="shared" si="3"/>
        <v>0</v>
      </c>
      <c r="CJ10" s="165">
        <f t="shared" si="3"/>
        <v>0</v>
      </c>
      <c r="CK10" s="165">
        <f t="shared" si="3"/>
        <v>0</v>
      </c>
      <c r="CL10" s="165">
        <f t="shared" si="3"/>
        <v>0</v>
      </c>
      <c r="CM10" s="165">
        <f t="shared" si="3"/>
        <v>0</v>
      </c>
      <c r="CN10" s="165">
        <f t="shared" si="3"/>
        <v>0</v>
      </c>
      <c r="CO10" s="165">
        <f t="shared" si="3"/>
        <v>0</v>
      </c>
      <c r="CP10" s="165">
        <f t="shared" si="3"/>
        <v>0</v>
      </c>
      <c r="CQ10" s="165">
        <f t="shared" si="3"/>
        <v>0</v>
      </c>
      <c r="CR10" s="165">
        <f t="shared" si="3"/>
        <v>0</v>
      </c>
      <c r="CS10" s="165">
        <f t="shared" si="21"/>
        <v>0</v>
      </c>
      <c r="CT10" s="166">
        <f t="shared" si="7"/>
        <v>0</v>
      </c>
      <c r="CU10" s="1">
        <f t="shared" si="8"/>
        <v>0</v>
      </c>
      <c r="CV10" s="157">
        <f t="shared" si="9"/>
        <v>15</v>
      </c>
      <c r="CW10" s="157">
        <f t="shared" si="10"/>
        <v>1</v>
      </c>
      <c r="CX10" s="157">
        <f t="shared" si="4"/>
        <v>0</v>
      </c>
      <c r="CY10" s="157">
        <f t="shared" si="11"/>
        <v>15</v>
      </c>
      <c r="CZ10" s="1">
        <f t="shared" si="12"/>
        <v>0</v>
      </c>
      <c r="DA10" s="5">
        <f t="shared" si="13"/>
        <v>0</v>
      </c>
    </row>
    <row r="11" spans="2:105" ht="19.5" customHeight="1">
      <c r="B11" s="45">
        <f>IF(AND(D10=D11,E10=E11,F10=F11),"","7.")</f>
      </c>
      <c r="C11" s="46" t="str">
        <f t="shared" si="14"/>
        <v>Spieler 7</v>
      </c>
      <c r="D11" s="47">
        <f t="shared" si="15"/>
        <v>0</v>
      </c>
      <c r="E11" s="55">
        <f t="shared" si="16"/>
      </c>
      <c r="F11" s="63" t="str">
        <f t="shared" si="17"/>
        <v> </v>
      </c>
      <c r="I11" s="45">
        <f t="shared" si="18"/>
        <v>7</v>
      </c>
      <c r="J11" s="46" t="str">
        <f>'Kreuztabelle 18'!C35</f>
        <v>Spieler 7</v>
      </c>
      <c r="K11" s="47">
        <f>IF(COUNT('Kreuztabelle 18'!D35:'Kreuztabelle 18'!U35)&gt;0,COUNT('Kreuztabelle 18'!D35:'Kreuztabelle 18'!U35),0)</f>
        <v>0</v>
      </c>
      <c r="L11" s="55">
        <f>'Kreuztabelle 18'!W35</f>
      </c>
      <c r="M11" s="63" t="str">
        <f>'Kreuztabelle 18'!V35</f>
        <v> </v>
      </c>
      <c r="N11">
        <f>IF(M11=" ",0.12,M11*100000+L11*1000-K11+0.12)</f>
        <v>0.12</v>
      </c>
      <c r="O11" s="65">
        <f t="shared" si="5"/>
        <v>18</v>
      </c>
      <c r="P11" s="65" t="e">
        <f>IF(AND(D10=D11,E10=E11,F10=F11),P10,7)</f>
        <v>#VALUE!</v>
      </c>
      <c r="Q11" s="66" t="e">
        <f t="shared" si="19"/>
        <v>#VALUE!</v>
      </c>
      <c r="R11" s="66" t="str">
        <f t="shared" si="6"/>
        <v> </v>
      </c>
      <c r="T11" s="1">
        <v>7</v>
      </c>
      <c r="AA11" t="str">
        <f>Eingabe!C13</f>
        <v>Spieler 8</v>
      </c>
      <c r="AB11" s="1">
        <f>IF(Eingabe!E13=" ",0,Eingabe!E13)</f>
        <v>0</v>
      </c>
      <c r="AC11" s="1">
        <f>IF(Eingabe!D13=5,5,IF(Eingabe!D13=10,10,15))</f>
        <v>15</v>
      </c>
      <c r="AD11" s="163">
        <f>$AB$14</f>
        <v>0</v>
      </c>
      <c r="AE11" s="3">
        <f>$AB$12</f>
        <v>0</v>
      </c>
      <c r="AF11" s="3">
        <f>$AB$10</f>
        <v>0</v>
      </c>
      <c r="AG11" s="3">
        <f>$AB$8</f>
        <v>0</v>
      </c>
      <c r="AH11" s="3">
        <f>$AB$6</f>
        <v>0</v>
      </c>
      <c r="AI11" s="3">
        <f>$AB$4</f>
        <v>0</v>
      </c>
      <c r="AJ11" s="3">
        <f>$AB$19</f>
        <v>0</v>
      </c>
      <c r="AK11" s="3">
        <f>$AB$17</f>
        <v>0</v>
      </c>
      <c r="AL11" s="3">
        <f>$AB$15</f>
        <v>0</v>
      </c>
      <c r="AM11" s="3">
        <f>$AB$13</f>
        <v>0</v>
      </c>
      <c r="AN11" s="3">
        <f>$AB$21</f>
        <v>0</v>
      </c>
      <c r="AO11" s="3">
        <f>$AB$9</f>
        <v>0</v>
      </c>
      <c r="AP11" s="3">
        <f>$AB$7</f>
        <v>0</v>
      </c>
      <c r="AQ11" s="3">
        <f>$AB$5</f>
        <v>0</v>
      </c>
      <c r="AR11" s="3">
        <f>$AB$20</f>
        <v>0</v>
      </c>
      <c r="AS11" s="3">
        <f>$AB$18</f>
        <v>0</v>
      </c>
      <c r="AT11" s="3">
        <f>$AB$16</f>
        <v>0</v>
      </c>
      <c r="AU11" s="163" t="str">
        <f>'18 Spieler'!$I$19</f>
        <v> </v>
      </c>
      <c r="AV11" s="3" t="str">
        <f>'18 Spieler'!$Q$20</f>
        <v> </v>
      </c>
      <c r="AW11" s="3" t="str">
        <f>'18 Spieler'!$W$20</f>
        <v> </v>
      </c>
      <c r="AX11" s="3" t="str">
        <f>'18 Spieler'!$AE$19</f>
        <v> </v>
      </c>
      <c r="AY11" s="3" t="str">
        <f>'18 Spieler'!$AM$18</f>
        <v> </v>
      </c>
      <c r="AZ11" s="3" t="str">
        <f>'18 Spieler'!$G$30</f>
        <v> </v>
      </c>
      <c r="BA11" s="3" t="str">
        <f>'18 Spieler'!$O$29</f>
        <v> </v>
      </c>
      <c r="BB11" s="3" t="str">
        <f>'18 Spieler'!$W$28</f>
        <v> </v>
      </c>
      <c r="BC11" s="3" t="str">
        <f>'18 Spieler'!$AE$27</f>
        <v> </v>
      </c>
      <c r="BD11" s="3" t="str">
        <f>'18 Spieler'!$AM$26</f>
        <v> </v>
      </c>
      <c r="BE11" s="3" t="str">
        <f>'18 Spieler'!$G$38</f>
        <v> </v>
      </c>
      <c r="BF11" s="3" t="str">
        <f>'18 Spieler'!$Q$39</f>
        <v> </v>
      </c>
      <c r="BG11" s="3" t="str">
        <f>'18 Spieler'!$Y$40</f>
        <v> </v>
      </c>
      <c r="BH11" s="3" t="str">
        <f>'18 Spieler'!$AG$41</f>
        <v> </v>
      </c>
      <c r="BI11" s="3" t="str">
        <f>'18 Spieler'!$AO$42</f>
        <v> </v>
      </c>
      <c r="BJ11" s="3" t="str">
        <f>'18 Spieler'!$I$56</f>
        <v> </v>
      </c>
      <c r="BK11" s="3" t="str">
        <f>'18 Spieler'!$Q$57</f>
        <v> </v>
      </c>
      <c r="BL11" s="163" t="str">
        <f t="shared" si="0"/>
        <v> </v>
      </c>
      <c r="BM11" s="3" t="str">
        <f t="shared" si="1"/>
        <v> </v>
      </c>
      <c r="BN11" s="3" t="str">
        <f t="shared" si="1"/>
        <v> </v>
      </c>
      <c r="BO11" s="3" t="str">
        <f t="shared" si="1"/>
        <v> </v>
      </c>
      <c r="BP11" s="3" t="str">
        <f t="shared" si="1"/>
        <v> </v>
      </c>
      <c r="BQ11" s="3" t="str">
        <f t="shared" si="1"/>
        <v> </v>
      </c>
      <c r="BR11" s="3" t="str">
        <f t="shared" si="1"/>
        <v> </v>
      </c>
      <c r="BS11" s="3" t="str">
        <f t="shared" si="1"/>
        <v> </v>
      </c>
      <c r="BT11" s="3" t="str">
        <f t="shared" si="1"/>
        <v> </v>
      </c>
      <c r="BU11" s="3" t="str">
        <f t="shared" si="1"/>
        <v> </v>
      </c>
      <c r="BV11" s="3" t="str">
        <f t="shared" si="1"/>
        <v> </v>
      </c>
      <c r="BW11" s="3" t="str">
        <f t="shared" si="1"/>
        <v> </v>
      </c>
      <c r="BX11" s="3" t="str">
        <f t="shared" si="1"/>
        <v> </v>
      </c>
      <c r="BY11" s="3" t="str">
        <f t="shared" si="1"/>
        <v> </v>
      </c>
      <c r="BZ11" s="3" t="str">
        <f t="shared" si="1"/>
        <v> </v>
      </c>
      <c r="CA11" s="3" t="str">
        <f t="shared" si="1"/>
        <v> </v>
      </c>
      <c r="CB11" s="3" t="str">
        <f t="shared" si="20"/>
        <v> </v>
      </c>
      <c r="CC11" s="164">
        <f t="shared" si="2"/>
        <v>0</v>
      </c>
      <c r="CD11" s="165">
        <f t="shared" si="3"/>
        <v>0</v>
      </c>
      <c r="CE11" s="165">
        <f t="shared" si="3"/>
        <v>0</v>
      </c>
      <c r="CF11" s="165">
        <f t="shared" si="3"/>
        <v>0</v>
      </c>
      <c r="CG11" s="165">
        <f t="shared" si="3"/>
        <v>0</v>
      </c>
      <c r="CH11" s="165">
        <f t="shared" si="3"/>
        <v>0</v>
      </c>
      <c r="CI11" s="165">
        <f t="shared" si="3"/>
        <v>0</v>
      </c>
      <c r="CJ11" s="165">
        <f t="shared" si="3"/>
        <v>0</v>
      </c>
      <c r="CK11" s="165">
        <f t="shared" si="3"/>
        <v>0</v>
      </c>
      <c r="CL11" s="165">
        <f t="shared" si="3"/>
        <v>0</v>
      </c>
      <c r="CM11" s="165">
        <f t="shared" si="3"/>
        <v>0</v>
      </c>
      <c r="CN11" s="165">
        <f t="shared" si="3"/>
        <v>0</v>
      </c>
      <c r="CO11" s="165">
        <f t="shared" si="3"/>
        <v>0</v>
      </c>
      <c r="CP11" s="165">
        <f t="shared" si="3"/>
        <v>0</v>
      </c>
      <c r="CQ11" s="165">
        <f t="shared" si="3"/>
        <v>0</v>
      </c>
      <c r="CR11" s="165">
        <f t="shared" si="3"/>
        <v>0</v>
      </c>
      <c r="CS11" s="165">
        <f t="shared" si="21"/>
        <v>0</v>
      </c>
      <c r="CT11" s="166">
        <f t="shared" si="7"/>
        <v>0</v>
      </c>
      <c r="CU11" s="1">
        <f t="shared" si="8"/>
        <v>0</v>
      </c>
      <c r="CV11" s="157">
        <f t="shared" si="9"/>
        <v>15</v>
      </c>
      <c r="CW11" s="157">
        <f t="shared" si="10"/>
        <v>1</v>
      </c>
      <c r="CX11" s="157">
        <f t="shared" si="4"/>
        <v>0</v>
      </c>
      <c r="CY11" s="157">
        <f t="shared" si="11"/>
        <v>15</v>
      </c>
      <c r="CZ11" s="1">
        <f t="shared" si="12"/>
        <v>0</v>
      </c>
      <c r="DA11" s="5">
        <f t="shared" si="13"/>
        <v>0</v>
      </c>
    </row>
    <row r="12" spans="2:105" ht="19.5" customHeight="1">
      <c r="B12" s="45">
        <f>IF(AND(D11=D12,E11=E12,F11=F12),"","8.")</f>
      </c>
      <c r="C12" s="46" t="str">
        <f t="shared" si="14"/>
        <v>Spieler 8</v>
      </c>
      <c r="D12" s="47">
        <f t="shared" si="15"/>
        <v>0</v>
      </c>
      <c r="E12" s="55">
        <f t="shared" si="16"/>
      </c>
      <c r="F12" s="63" t="str">
        <f t="shared" si="17"/>
        <v> </v>
      </c>
      <c r="I12" s="45">
        <f t="shared" si="18"/>
        <v>8</v>
      </c>
      <c r="J12" s="46" t="str">
        <f>'Kreuztabelle 18'!C36</f>
        <v>Spieler 8</v>
      </c>
      <c r="K12" s="47">
        <f>IF(COUNT('Kreuztabelle 18'!D36:'Kreuztabelle 18'!U36)&gt;0,COUNT('Kreuztabelle 18'!D36:'Kreuztabelle 18'!U36),0)</f>
        <v>0</v>
      </c>
      <c r="L12" s="55">
        <f>'Kreuztabelle 18'!W36</f>
      </c>
      <c r="M12" s="63" t="str">
        <f>'Kreuztabelle 18'!V36</f>
        <v> </v>
      </c>
      <c r="N12">
        <f>IF(M12=" ",0.11,M12*100000+L12*1000-K12+0.11)</f>
        <v>0.11</v>
      </c>
      <c r="O12" s="65">
        <f t="shared" si="5"/>
        <v>18</v>
      </c>
      <c r="P12" s="65" t="e">
        <f>IF(AND(D11=D12,E11=E12,F11=F12),P11,8)</f>
        <v>#VALUE!</v>
      </c>
      <c r="Q12" s="66" t="e">
        <f t="shared" si="19"/>
        <v>#VALUE!</v>
      </c>
      <c r="R12" s="66" t="str">
        <f t="shared" si="6"/>
        <v> </v>
      </c>
      <c r="T12" s="1">
        <v>8</v>
      </c>
      <c r="AA12" t="str">
        <f>Eingabe!C14</f>
        <v>Spieler 9</v>
      </c>
      <c r="AB12" s="1">
        <f>IF(Eingabe!E14=" ",0,Eingabe!E14)</f>
        <v>0</v>
      </c>
      <c r="AC12" s="1">
        <f>IF(Eingabe!D14=5,5,IF(Eingabe!D14=10,10,15))</f>
        <v>15</v>
      </c>
      <c r="AD12" s="163">
        <f>$AB$13</f>
        <v>0</v>
      </c>
      <c r="AE12" s="3">
        <f>$AB$11</f>
        <v>0</v>
      </c>
      <c r="AF12" s="3">
        <f>$AB$9</f>
        <v>0</v>
      </c>
      <c r="AG12" s="3">
        <f>$AB$7</f>
        <v>0</v>
      </c>
      <c r="AH12" s="3">
        <f>$AB$5</f>
        <v>0</v>
      </c>
      <c r="AI12" s="3">
        <f>$AB$20</f>
        <v>0</v>
      </c>
      <c r="AJ12" s="3">
        <f>$AB$18</f>
        <v>0</v>
      </c>
      <c r="AK12" s="3">
        <f>$AB$16</f>
        <v>0</v>
      </c>
      <c r="AL12" s="3">
        <f>$AB$14</f>
        <v>0</v>
      </c>
      <c r="AM12" s="3">
        <f>$AB$21</f>
        <v>0</v>
      </c>
      <c r="AN12" s="3">
        <f>$AB$10</f>
        <v>0</v>
      </c>
      <c r="AO12" s="3">
        <f>$AB$8</f>
        <v>0</v>
      </c>
      <c r="AP12" s="3">
        <f>$AB$6</f>
        <v>0</v>
      </c>
      <c r="AQ12" s="3">
        <f>$AB$4</f>
        <v>0</v>
      </c>
      <c r="AR12" s="3">
        <f>$AB$19</f>
        <v>0</v>
      </c>
      <c r="AS12" s="3">
        <f>$AB$17</f>
        <v>0</v>
      </c>
      <c r="AT12" s="3">
        <f>$AB$15</f>
        <v>0</v>
      </c>
      <c r="AU12" s="163" t="str">
        <f>'18 Spieler'!$I$20</f>
        <v> </v>
      </c>
      <c r="AV12" s="3" t="str">
        <f>'18 Spieler'!$O$20</f>
        <v> </v>
      </c>
      <c r="AW12" s="3" t="str">
        <f>'18 Spieler'!$W$19</f>
        <v> </v>
      </c>
      <c r="AX12" s="3" t="str">
        <f>'18 Spieler'!$AE$18</f>
        <v> </v>
      </c>
      <c r="AY12" s="3" t="str">
        <f>'18 Spieler'!$AM$17</f>
        <v> </v>
      </c>
      <c r="AZ12" s="3" t="str">
        <f>'18 Spieler'!$G$29</f>
        <v> </v>
      </c>
      <c r="BA12" s="3" t="str">
        <f>'18 Spieler'!$O$28</f>
        <v> </v>
      </c>
      <c r="BB12" s="3" t="str">
        <f>'18 Spieler'!$W$27</f>
        <v> </v>
      </c>
      <c r="BC12" s="3" t="str">
        <f>'18 Spieler'!$AE$26</f>
        <v> </v>
      </c>
      <c r="BD12" s="3" t="str">
        <f>'18 Spieler'!$AM$25</f>
        <v> </v>
      </c>
      <c r="BE12" s="3" t="str">
        <f>'18 Spieler'!$I$39</f>
        <v> </v>
      </c>
      <c r="BF12" s="3" t="str">
        <f>'18 Spieler'!$Q$40</f>
        <v> </v>
      </c>
      <c r="BG12" s="3" t="str">
        <f>'18 Spieler'!$Y$41</f>
        <v> </v>
      </c>
      <c r="BH12" s="3" t="str">
        <f>'18 Spieler'!$AG$42</f>
        <v> </v>
      </c>
      <c r="BI12" s="3" t="str">
        <f>'18 Spieler'!$AO$43</f>
        <v> </v>
      </c>
      <c r="BJ12" s="3" t="str">
        <f>'18 Spieler'!$I$57</f>
        <v> </v>
      </c>
      <c r="BK12" s="3" t="str">
        <f>'18 Spieler'!$Q$58</f>
        <v> </v>
      </c>
      <c r="BL12" s="163" t="str">
        <f t="shared" si="0"/>
        <v> </v>
      </c>
      <c r="BM12" s="3" t="str">
        <f t="shared" si="1"/>
        <v> </v>
      </c>
      <c r="BN12" s="3" t="str">
        <f t="shared" si="1"/>
        <v> </v>
      </c>
      <c r="BO12" s="3" t="str">
        <f t="shared" si="1"/>
        <v> </v>
      </c>
      <c r="BP12" s="3" t="str">
        <f t="shared" si="1"/>
        <v> </v>
      </c>
      <c r="BQ12" s="3" t="str">
        <f t="shared" si="1"/>
        <v> </v>
      </c>
      <c r="BR12" s="3" t="str">
        <f t="shared" si="1"/>
        <v> </v>
      </c>
      <c r="BS12" s="3" t="str">
        <f t="shared" si="1"/>
        <v> </v>
      </c>
      <c r="BT12" s="3" t="str">
        <f t="shared" si="1"/>
        <v> </v>
      </c>
      <c r="BU12" s="3" t="str">
        <f t="shared" si="1"/>
        <v> </v>
      </c>
      <c r="BV12" s="3" t="str">
        <f t="shared" si="1"/>
        <v> </v>
      </c>
      <c r="BW12" s="3" t="str">
        <f t="shared" si="1"/>
        <v> </v>
      </c>
      <c r="BX12" s="3" t="str">
        <f t="shared" si="1"/>
        <v> </v>
      </c>
      <c r="BY12" s="3" t="str">
        <f t="shared" si="1"/>
        <v> </v>
      </c>
      <c r="BZ12" s="3" t="str">
        <f t="shared" si="1"/>
        <v> </v>
      </c>
      <c r="CA12" s="3" t="str">
        <f t="shared" si="1"/>
        <v> </v>
      </c>
      <c r="CB12" s="3" t="str">
        <f t="shared" si="20"/>
        <v> </v>
      </c>
      <c r="CC12" s="164">
        <f t="shared" si="2"/>
        <v>0</v>
      </c>
      <c r="CD12" s="165">
        <f t="shared" si="3"/>
        <v>0</v>
      </c>
      <c r="CE12" s="165">
        <f t="shared" si="3"/>
        <v>0</v>
      </c>
      <c r="CF12" s="165">
        <f t="shared" si="3"/>
        <v>0</v>
      </c>
      <c r="CG12" s="165">
        <f t="shared" si="3"/>
        <v>0</v>
      </c>
      <c r="CH12" s="165">
        <f t="shared" si="3"/>
        <v>0</v>
      </c>
      <c r="CI12" s="165">
        <f t="shared" si="3"/>
        <v>0</v>
      </c>
      <c r="CJ12" s="165">
        <f t="shared" si="3"/>
        <v>0</v>
      </c>
      <c r="CK12" s="165">
        <f t="shared" si="3"/>
        <v>0</v>
      </c>
      <c r="CL12" s="165">
        <f t="shared" si="3"/>
        <v>0</v>
      </c>
      <c r="CM12" s="165">
        <f t="shared" si="3"/>
        <v>0</v>
      </c>
      <c r="CN12" s="165">
        <f t="shared" si="3"/>
        <v>0</v>
      </c>
      <c r="CO12" s="165">
        <f t="shared" si="3"/>
        <v>0</v>
      </c>
      <c r="CP12" s="165">
        <f t="shared" si="3"/>
        <v>0</v>
      </c>
      <c r="CQ12" s="165">
        <f t="shared" si="3"/>
        <v>0</v>
      </c>
      <c r="CR12" s="165">
        <f t="shared" si="3"/>
        <v>0</v>
      </c>
      <c r="CS12" s="165">
        <f t="shared" si="21"/>
        <v>0</v>
      </c>
      <c r="CT12" s="166">
        <f t="shared" si="7"/>
        <v>0</v>
      </c>
      <c r="CU12" s="1">
        <f t="shared" si="8"/>
        <v>0</v>
      </c>
      <c r="CV12" s="157">
        <f t="shared" si="9"/>
        <v>15</v>
      </c>
      <c r="CW12" s="157">
        <f t="shared" si="10"/>
        <v>1</v>
      </c>
      <c r="CX12" s="157">
        <f t="shared" si="4"/>
        <v>0</v>
      </c>
      <c r="CY12" s="157">
        <f t="shared" si="11"/>
        <v>15</v>
      </c>
      <c r="CZ12" s="1">
        <f t="shared" si="12"/>
        <v>0</v>
      </c>
      <c r="DA12" s="5">
        <f t="shared" si="13"/>
        <v>0</v>
      </c>
    </row>
    <row r="13" spans="2:105" ht="19.5" customHeight="1">
      <c r="B13" s="45">
        <f>IF(AND(D12=D13,E12=E13,F12=F13),"","9.")</f>
      </c>
      <c r="C13" s="46" t="str">
        <f t="shared" si="14"/>
        <v>Spieler 9</v>
      </c>
      <c r="D13" s="47">
        <f t="shared" si="15"/>
        <v>0</v>
      </c>
      <c r="E13" s="55">
        <f t="shared" si="16"/>
      </c>
      <c r="F13" s="63" t="str">
        <f t="shared" si="17"/>
        <v> </v>
      </c>
      <c r="I13" s="45">
        <f t="shared" si="18"/>
        <v>9</v>
      </c>
      <c r="J13" s="46" t="str">
        <f>'Kreuztabelle 18'!C37</f>
        <v>Spieler 9</v>
      </c>
      <c r="K13" s="47">
        <f>IF(COUNT('Kreuztabelle 18'!D37:'Kreuztabelle 18'!U37)&gt;0,COUNT('Kreuztabelle 18'!D37:'Kreuztabelle 18'!U37),0)</f>
        <v>0</v>
      </c>
      <c r="L13" s="55">
        <f>'Kreuztabelle 18'!W37</f>
      </c>
      <c r="M13" s="63" t="str">
        <f>'Kreuztabelle 18'!V37</f>
        <v> </v>
      </c>
      <c r="N13">
        <f>IF(M13=" ",0.1,M13*100000+L13*1000-K13+0.1)</f>
        <v>0.1</v>
      </c>
      <c r="O13" s="65">
        <f t="shared" si="5"/>
        <v>18</v>
      </c>
      <c r="P13" s="65" t="e">
        <f>IF(AND(D12=D13,E12=E13,F12=F13),P12,9)</f>
        <v>#VALUE!</v>
      </c>
      <c r="Q13" s="66" t="e">
        <f t="shared" si="19"/>
        <v>#VALUE!</v>
      </c>
      <c r="R13" s="66" t="str">
        <f t="shared" si="6"/>
        <v> </v>
      </c>
      <c r="T13" s="1">
        <v>9</v>
      </c>
      <c r="AA13" t="str">
        <f>Eingabe!C15</f>
        <v>Spieler 10</v>
      </c>
      <c r="AB13" s="1">
        <f>IF(Eingabe!E15=" ",0,Eingabe!E15)</f>
        <v>0</v>
      </c>
      <c r="AC13" s="1">
        <f>IF(Eingabe!D15=5,5,IF(Eingabe!D15=10,10,15))</f>
        <v>15</v>
      </c>
      <c r="AD13" s="163">
        <f>$AB$12</f>
        <v>0</v>
      </c>
      <c r="AE13" s="3">
        <f>$AB$10</f>
        <v>0</v>
      </c>
      <c r="AF13" s="3">
        <f>$AB$8</f>
        <v>0</v>
      </c>
      <c r="AG13" s="3">
        <f>$AB$6</f>
        <v>0</v>
      </c>
      <c r="AH13" s="3">
        <f>$AB$4</f>
        <v>0</v>
      </c>
      <c r="AI13" s="3">
        <f>$AB$19</f>
        <v>0</v>
      </c>
      <c r="AJ13" s="3">
        <f>$AB$17</f>
        <v>0</v>
      </c>
      <c r="AK13" s="3">
        <f>$AB$15</f>
        <v>0</v>
      </c>
      <c r="AL13" s="3">
        <f>$AB$21</f>
        <v>0</v>
      </c>
      <c r="AM13" s="3">
        <f>$AB$11</f>
        <v>0</v>
      </c>
      <c r="AN13" s="3">
        <f>$AB$9</f>
        <v>0</v>
      </c>
      <c r="AO13" s="3">
        <f>$AB$7</f>
        <v>0</v>
      </c>
      <c r="AP13" s="3">
        <f>$AB$5</f>
        <v>0</v>
      </c>
      <c r="AQ13" s="3">
        <f>$AB$20</f>
        <v>0</v>
      </c>
      <c r="AR13" s="3">
        <f>$AB$18</f>
        <v>0</v>
      </c>
      <c r="AS13" s="3">
        <f>$AB$16</f>
        <v>0</v>
      </c>
      <c r="AT13" s="3">
        <f>$AB$14</f>
        <v>0</v>
      </c>
      <c r="AU13" s="163" t="str">
        <f>'18 Spieler'!$G$20</f>
        <v> </v>
      </c>
      <c r="AV13" s="3" t="str">
        <f>'18 Spieler'!$O$19</f>
        <v> </v>
      </c>
      <c r="AW13" s="3" t="str">
        <f>'18 Spieler'!$W$18</f>
        <v> </v>
      </c>
      <c r="AX13" s="3" t="str">
        <f>'18 Spieler'!$AE$17</f>
        <v> </v>
      </c>
      <c r="AY13" s="3" t="str">
        <f>'18 Spieler'!$AM$16</f>
        <v> </v>
      </c>
      <c r="AZ13" s="3" t="str">
        <f>'18 Spieler'!$G$28</f>
        <v> </v>
      </c>
      <c r="BA13" s="3" t="str">
        <f>'18 Spieler'!$O$27</f>
        <v> </v>
      </c>
      <c r="BB13" s="3" t="str">
        <f>'18 Spieler'!$W$26</f>
        <v> </v>
      </c>
      <c r="BC13" s="3" t="str">
        <f>'18 Spieler'!$AE$25</f>
        <v> </v>
      </c>
      <c r="BD13" s="3" t="str">
        <f>'18 Spieler'!$AO$26</f>
        <v> </v>
      </c>
      <c r="BE13" s="3" t="str">
        <f>'18 Spieler'!$I$40</f>
        <v> </v>
      </c>
      <c r="BF13" s="3" t="str">
        <f>'18 Spieler'!$Q$41</f>
        <v> </v>
      </c>
      <c r="BG13" s="3" t="str">
        <f>'18 Spieler'!$Y$42</f>
        <v> </v>
      </c>
      <c r="BH13" s="3" t="str">
        <f>'18 Spieler'!$AG$43</f>
        <v> </v>
      </c>
      <c r="BI13" s="3" t="str">
        <f>'18 Spieler'!$AO44</f>
        <v> </v>
      </c>
      <c r="BJ13" s="3" t="str">
        <f>'18 Spieler'!$I$58</f>
        <v> </v>
      </c>
      <c r="BK13" s="3" t="str">
        <f>'18 Spieler'!$Q$59</f>
        <v> </v>
      </c>
      <c r="BL13" s="163" t="str">
        <f t="shared" si="0"/>
        <v> </v>
      </c>
      <c r="BM13" s="3" t="str">
        <f t="shared" si="1"/>
        <v> </v>
      </c>
      <c r="BN13" s="3" t="str">
        <f t="shared" si="1"/>
        <v> </v>
      </c>
      <c r="BO13" s="3" t="str">
        <f t="shared" si="1"/>
        <v> </v>
      </c>
      <c r="BP13" s="3" t="str">
        <f t="shared" si="1"/>
        <v> </v>
      </c>
      <c r="BQ13" s="3" t="str">
        <f t="shared" si="1"/>
        <v> </v>
      </c>
      <c r="BR13" s="3" t="str">
        <f t="shared" si="1"/>
        <v> </v>
      </c>
      <c r="BS13" s="3" t="str">
        <f t="shared" si="1"/>
        <v> </v>
      </c>
      <c r="BT13" s="3" t="str">
        <f t="shared" si="1"/>
        <v> </v>
      </c>
      <c r="BU13" s="3" t="str">
        <f t="shared" si="1"/>
        <v> </v>
      </c>
      <c r="BV13" s="3" t="str">
        <f t="shared" si="1"/>
        <v> </v>
      </c>
      <c r="BW13" s="3" t="str">
        <f t="shared" si="1"/>
        <v> </v>
      </c>
      <c r="BX13" s="3" t="str">
        <f t="shared" si="1"/>
        <v> </v>
      </c>
      <c r="BY13" s="3" t="str">
        <f t="shared" si="1"/>
        <v> </v>
      </c>
      <c r="BZ13" s="3" t="str">
        <f t="shared" si="1"/>
        <v> </v>
      </c>
      <c r="CA13" s="3" t="str">
        <f t="shared" si="1"/>
        <v> </v>
      </c>
      <c r="CB13" s="3" t="str">
        <f t="shared" si="20"/>
        <v> </v>
      </c>
      <c r="CC13" s="164">
        <f t="shared" si="2"/>
        <v>0</v>
      </c>
      <c r="CD13" s="165">
        <f t="shared" si="3"/>
        <v>0</v>
      </c>
      <c r="CE13" s="165">
        <f t="shared" si="3"/>
        <v>0</v>
      </c>
      <c r="CF13" s="165">
        <f t="shared" si="3"/>
        <v>0</v>
      </c>
      <c r="CG13" s="165">
        <f t="shared" si="3"/>
        <v>0</v>
      </c>
      <c r="CH13" s="165">
        <f t="shared" si="3"/>
        <v>0</v>
      </c>
      <c r="CI13" s="165">
        <f t="shared" si="3"/>
        <v>0</v>
      </c>
      <c r="CJ13" s="165">
        <f t="shared" si="3"/>
        <v>0</v>
      </c>
      <c r="CK13" s="165">
        <f t="shared" si="3"/>
        <v>0</v>
      </c>
      <c r="CL13" s="165">
        <f t="shared" si="3"/>
        <v>0</v>
      </c>
      <c r="CM13" s="165">
        <f t="shared" si="3"/>
        <v>0</v>
      </c>
      <c r="CN13" s="165">
        <f t="shared" si="3"/>
        <v>0</v>
      </c>
      <c r="CO13" s="165">
        <f t="shared" si="3"/>
        <v>0</v>
      </c>
      <c r="CP13" s="165">
        <f t="shared" si="3"/>
        <v>0</v>
      </c>
      <c r="CQ13" s="165">
        <f t="shared" si="3"/>
        <v>0</v>
      </c>
      <c r="CR13" s="165">
        <f t="shared" si="3"/>
        <v>0</v>
      </c>
      <c r="CS13" s="165">
        <f t="shared" si="21"/>
        <v>0</v>
      </c>
      <c r="CT13" s="166">
        <f t="shared" si="7"/>
        <v>0</v>
      </c>
      <c r="CU13" s="1">
        <f t="shared" si="8"/>
        <v>0</v>
      </c>
      <c r="CV13" s="157">
        <f t="shared" si="9"/>
        <v>15</v>
      </c>
      <c r="CW13" s="157">
        <f t="shared" si="10"/>
        <v>1</v>
      </c>
      <c r="CX13" s="157">
        <f t="shared" si="4"/>
        <v>0</v>
      </c>
      <c r="CY13" s="157">
        <f t="shared" si="11"/>
        <v>15</v>
      </c>
      <c r="CZ13" s="1">
        <f t="shared" si="12"/>
        <v>0</v>
      </c>
      <c r="DA13" s="5">
        <f t="shared" si="13"/>
        <v>0</v>
      </c>
    </row>
    <row r="14" spans="2:105" ht="19.5" customHeight="1">
      <c r="B14" s="45">
        <f>IF(AND(D13=D14,E13=E14,F13=F14),"","10.")</f>
      </c>
      <c r="C14" s="46" t="str">
        <f t="shared" si="14"/>
        <v>Spieler 10</v>
      </c>
      <c r="D14" s="47">
        <f t="shared" si="15"/>
        <v>0</v>
      </c>
      <c r="E14" s="55">
        <f t="shared" si="16"/>
      </c>
      <c r="F14" s="63" t="str">
        <f t="shared" si="17"/>
        <v> </v>
      </c>
      <c r="I14" s="45">
        <f t="shared" si="18"/>
        <v>10</v>
      </c>
      <c r="J14" s="46" t="str">
        <f>'Kreuztabelle 18'!C38</f>
        <v>Spieler 10</v>
      </c>
      <c r="K14" s="47">
        <f>IF(COUNT('Kreuztabelle 18'!D38:'Kreuztabelle 18'!U38)&gt;0,COUNT('Kreuztabelle 18'!D38:'Kreuztabelle 18'!U38),0)</f>
        <v>0</v>
      </c>
      <c r="L14" s="55">
        <f>'Kreuztabelle 18'!W38</f>
      </c>
      <c r="M14" s="63" t="str">
        <f>'Kreuztabelle 18'!V38</f>
        <v> </v>
      </c>
      <c r="N14">
        <f>IF(M14=" ",0.09,M14*100000+L14*1000-K14+0.09)</f>
        <v>0.09</v>
      </c>
      <c r="O14" s="65">
        <f t="shared" si="5"/>
        <v>18</v>
      </c>
      <c r="P14" s="65" t="e">
        <f>IF(AND(D13=D14,E13=E14,F13=F14),P13,10)</f>
        <v>#VALUE!</v>
      </c>
      <c r="Q14" s="66" t="e">
        <f t="shared" si="19"/>
        <v>#VALUE!</v>
      </c>
      <c r="R14" s="66" t="str">
        <f t="shared" si="6"/>
        <v> </v>
      </c>
      <c r="T14" s="1">
        <v>10</v>
      </c>
      <c r="AA14" t="str">
        <f>Eingabe!G6</f>
        <v>Spieler 11</v>
      </c>
      <c r="AB14" s="1">
        <f>IF(Eingabe!I6=" ",0,Eingabe!I6)</f>
        <v>0</v>
      </c>
      <c r="AC14" s="1">
        <f>IF(Eingabe!H6=5,5,IF(Eingabe!H6=10,10,15))</f>
        <v>15</v>
      </c>
      <c r="AD14" s="163">
        <f>$AB$11</f>
        <v>0</v>
      </c>
      <c r="AE14" s="3">
        <f>$AB$9</f>
        <v>0</v>
      </c>
      <c r="AF14" s="3">
        <f>$AB$7</f>
        <v>0</v>
      </c>
      <c r="AG14" s="3">
        <f>$AB$5</f>
        <v>0</v>
      </c>
      <c r="AH14" s="3">
        <f>$AB$20</f>
        <v>0</v>
      </c>
      <c r="AI14" s="3">
        <f>$AB$18</f>
        <v>0</v>
      </c>
      <c r="AJ14" s="3">
        <f>$AB$16</f>
        <v>0</v>
      </c>
      <c r="AK14" s="3">
        <f>$AB$21</f>
        <v>0</v>
      </c>
      <c r="AL14" s="3">
        <f>$AB$12</f>
        <v>0</v>
      </c>
      <c r="AM14" s="3">
        <f>$AB$10</f>
        <v>0</v>
      </c>
      <c r="AN14" s="3">
        <f>$AB$8</f>
        <v>0</v>
      </c>
      <c r="AO14" s="3">
        <f>$AB$6</f>
        <v>0</v>
      </c>
      <c r="AP14" s="3">
        <f>$AB$4</f>
        <v>0</v>
      </c>
      <c r="AQ14" s="3">
        <f>$AB$19</f>
        <v>0</v>
      </c>
      <c r="AR14" s="3">
        <f>$AB$17</f>
        <v>0</v>
      </c>
      <c r="AS14" s="3">
        <f>$AB$15</f>
        <v>0</v>
      </c>
      <c r="AT14" s="3">
        <f>$AB$13</f>
        <v>0</v>
      </c>
      <c r="AU14" s="163" t="str">
        <f>'18 Spieler'!$G$19</f>
        <v> </v>
      </c>
      <c r="AV14" s="3" t="str">
        <f>'18 Spieler'!$O$18</f>
        <v> </v>
      </c>
      <c r="AW14" s="3" t="str">
        <f>'18 Spieler'!$W$17</f>
        <v> </v>
      </c>
      <c r="AX14" s="3" t="str">
        <f>'18 Spieler'!$AE$16</f>
        <v> </v>
      </c>
      <c r="AY14" s="3" t="str">
        <f>'18 Spieler'!$AM$15</f>
        <v> </v>
      </c>
      <c r="AZ14" s="3" t="str">
        <f>'18 Spieler'!$G$27</f>
        <v> </v>
      </c>
      <c r="BA14" s="3" t="str">
        <f>'18 Spieler'!$O$26</f>
        <v> </v>
      </c>
      <c r="BB14" s="3" t="str">
        <f>'18 Spieler'!$W$25</f>
        <v> </v>
      </c>
      <c r="BC14" s="3" t="str">
        <f>'18 Spieler'!$AG$26</f>
        <v> </v>
      </c>
      <c r="BD14" s="3" t="str">
        <f>'18 Spieler'!$AO$27</f>
        <v> </v>
      </c>
      <c r="BE14" s="3" t="str">
        <f>'18 Spieler'!$I$41</f>
        <v> </v>
      </c>
      <c r="BF14" s="3" t="str">
        <f>'18 Spieler'!$Q$42</f>
        <v> </v>
      </c>
      <c r="BG14" s="3" t="str">
        <f>'18 Spieler'!$Y$43</f>
        <v> </v>
      </c>
      <c r="BH14" s="3" t="str">
        <f>'18 Spieler'!$AG$44</f>
        <v> </v>
      </c>
      <c r="BI14" s="3" t="str">
        <f>'18 Spieler'!$AO$45</f>
        <v> </v>
      </c>
      <c r="BJ14" s="3" t="str">
        <f>'18 Spieler'!$I$59</f>
        <v> </v>
      </c>
      <c r="BK14" s="3" t="str">
        <f>'18 Spieler'!$O$59</f>
        <v> </v>
      </c>
      <c r="BL14" s="163" t="str">
        <f t="shared" si="0"/>
        <v> </v>
      </c>
      <c r="BM14" s="3" t="str">
        <f t="shared" si="1"/>
        <v> </v>
      </c>
      <c r="BN14" s="3" t="str">
        <f t="shared" si="1"/>
        <v> </v>
      </c>
      <c r="BO14" s="3" t="str">
        <f t="shared" si="1"/>
        <v> </v>
      </c>
      <c r="BP14" s="3" t="str">
        <f t="shared" si="1"/>
        <v> </v>
      </c>
      <c r="BQ14" s="3" t="str">
        <f t="shared" si="1"/>
        <v> </v>
      </c>
      <c r="BR14" s="3" t="str">
        <f t="shared" si="1"/>
        <v> </v>
      </c>
      <c r="BS14" s="3" t="str">
        <f t="shared" si="1"/>
        <v> </v>
      </c>
      <c r="BT14" s="3" t="str">
        <f t="shared" si="1"/>
        <v> </v>
      </c>
      <c r="BU14" s="3" t="str">
        <f t="shared" si="1"/>
        <v> </v>
      </c>
      <c r="BV14" s="3" t="str">
        <f t="shared" si="1"/>
        <v> </v>
      </c>
      <c r="BW14" s="3" t="str">
        <f t="shared" si="1"/>
        <v> </v>
      </c>
      <c r="BX14" s="3" t="str">
        <f t="shared" si="1"/>
        <v> </v>
      </c>
      <c r="BY14" s="3" t="str">
        <f t="shared" si="1"/>
        <v> </v>
      </c>
      <c r="BZ14" s="3" t="str">
        <f t="shared" si="1"/>
        <v> </v>
      </c>
      <c r="CA14" s="3" t="str">
        <f t="shared" si="1"/>
        <v> </v>
      </c>
      <c r="CB14" s="3" t="str">
        <f t="shared" si="20"/>
        <v> </v>
      </c>
      <c r="CC14" s="164">
        <f t="shared" si="2"/>
        <v>0</v>
      </c>
      <c r="CD14" s="165">
        <f t="shared" si="3"/>
        <v>0</v>
      </c>
      <c r="CE14" s="165">
        <f t="shared" si="3"/>
        <v>0</v>
      </c>
      <c r="CF14" s="165">
        <f t="shared" si="3"/>
        <v>0</v>
      </c>
      <c r="CG14" s="165">
        <f t="shared" si="3"/>
        <v>0</v>
      </c>
      <c r="CH14" s="165">
        <f t="shared" si="3"/>
        <v>0</v>
      </c>
      <c r="CI14" s="165">
        <f t="shared" si="3"/>
        <v>0</v>
      </c>
      <c r="CJ14" s="165">
        <f t="shared" si="3"/>
        <v>0</v>
      </c>
      <c r="CK14" s="165">
        <f t="shared" si="3"/>
        <v>0</v>
      </c>
      <c r="CL14" s="165">
        <f t="shared" si="3"/>
        <v>0</v>
      </c>
      <c r="CM14" s="165">
        <f t="shared" si="3"/>
        <v>0</v>
      </c>
      <c r="CN14" s="165">
        <f t="shared" si="3"/>
        <v>0</v>
      </c>
      <c r="CO14" s="165">
        <f t="shared" si="3"/>
        <v>0</v>
      </c>
      <c r="CP14" s="165">
        <f t="shared" si="3"/>
        <v>0</v>
      </c>
      <c r="CQ14" s="165">
        <f t="shared" si="3"/>
        <v>0</v>
      </c>
      <c r="CR14" s="165">
        <f t="shared" si="3"/>
        <v>0</v>
      </c>
      <c r="CS14" s="165">
        <f t="shared" si="21"/>
        <v>0</v>
      </c>
      <c r="CT14" s="166">
        <f t="shared" si="7"/>
        <v>0</v>
      </c>
      <c r="CU14" s="1">
        <f t="shared" si="8"/>
        <v>0</v>
      </c>
      <c r="CV14" s="157">
        <f t="shared" si="9"/>
        <v>15</v>
      </c>
      <c r="CW14" s="157">
        <f t="shared" si="10"/>
        <v>1</v>
      </c>
      <c r="CX14" s="157">
        <f t="shared" si="4"/>
        <v>0</v>
      </c>
      <c r="CY14" s="157">
        <f t="shared" si="11"/>
        <v>15</v>
      </c>
      <c r="CZ14" s="1">
        <f t="shared" si="12"/>
        <v>0</v>
      </c>
      <c r="DA14" s="5">
        <f aca="true" t="shared" si="22" ref="DA14:DA20">IF(AB14=0,0,IF(CU14=0,AB14,ROUND(AB14+800*(CZ14-CT14)/(CY14+CU14),0)))</f>
        <v>0</v>
      </c>
    </row>
    <row r="15" spans="2:105" ht="19.5" customHeight="1">
      <c r="B15" s="45">
        <f>IF(AND(D14=D15,E14=E15,F14=F15),"","11.")</f>
      </c>
      <c r="C15" s="46" t="str">
        <f t="shared" si="14"/>
        <v>Spieler 11</v>
      </c>
      <c r="D15" s="47">
        <f t="shared" si="15"/>
        <v>0</v>
      </c>
      <c r="E15" s="55">
        <f t="shared" si="16"/>
      </c>
      <c r="F15" s="63" t="str">
        <f t="shared" si="17"/>
        <v> </v>
      </c>
      <c r="I15" s="45">
        <f t="shared" si="18"/>
        <v>11</v>
      </c>
      <c r="J15" s="46" t="str">
        <f>'Kreuztabelle 18'!C39</f>
        <v>Spieler 11</v>
      </c>
      <c r="K15" s="47">
        <f>IF(COUNT('Kreuztabelle 18'!D39:'Kreuztabelle 18'!U39)&gt;0,COUNT('Kreuztabelle 18'!D39:'Kreuztabelle 18'!U39),0)</f>
        <v>0</v>
      </c>
      <c r="L15" s="55">
        <f>'Kreuztabelle 18'!W39</f>
      </c>
      <c r="M15" s="63" t="str">
        <f>'Kreuztabelle 18'!V39</f>
        <v> </v>
      </c>
      <c r="N15">
        <f>IF(M15=" ",0.08,M15*100000+L15*1000-K15+0.08)</f>
        <v>0.08</v>
      </c>
      <c r="O15" s="65">
        <f t="shared" si="5"/>
        <v>18</v>
      </c>
      <c r="P15" s="65" t="e">
        <f>IF(AND(D14=D15,E14=E15,F14=F15),P14,11)</f>
        <v>#VALUE!</v>
      </c>
      <c r="Q15" s="66" t="e">
        <f t="shared" si="19"/>
        <v>#VALUE!</v>
      </c>
      <c r="R15" s="66" t="str">
        <f t="shared" si="6"/>
        <v> </v>
      </c>
      <c r="T15" s="1">
        <v>11</v>
      </c>
      <c r="AA15" t="str">
        <f>Eingabe!G7</f>
        <v>Spieler 12</v>
      </c>
      <c r="AB15" s="1">
        <f>IF(Eingabe!I7=" ",0,Eingabe!I7)</f>
        <v>0</v>
      </c>
      <c r="AC15" s="1">
        <f>IF(Eingabe!H7=5,5,IF(Eingabe!H7=10,10,15))</f>
        <v>15</v>
      </c>
      <c r="AD15" s="163">
        <f>$AB$10</f>
        <v>0</v>
      </c>
      <c r="AE15" s="3">
        <f>$AB$8</f>
        <v>0</v>
      </c>
      <c r="AF15" s="3">
        <f>$AB$6</f>
        <v>0</v>
      </c>
      <c r="AG15" s="3">
        <f>$AB$4</f>
        <v>0</v>
      </c>
      <c r="AH15" s="3">
        <f>$AB$19</f>
        <v>0</v>
      </c>
      <c r="AI15" s="3">
        <f>$AB$17</f>
        <v>0</v>
      </c>
      <c r="AJ15" s="3">
        <f>$AB$21</f>
        <v>0</v>
      </c>
      <c r="AK15" s="3">
        <f>$AB$13</f>
        <v>0</v>
      </c>
      <c r="AL15" s="3">
        <f>$AB$11</f>
        <v>0</v>
      </c>
      <c r="AM15" s="3">
        <f>$AB$9</f>
        <v>0</v>
      </c>
      <c r="AN15" s="3">
        <f>$AB$7</f>
        <v>0</v>
      </c>
      <c r="AO15" s="3">
        <f>$AB$5</f>
        <v>0</v>
      </c>
      <c r="AP15" s="3">
        <f>$AB$20</f>
        <v>0</v>
      </c>
      <c r="AQ15" s="3">
        <f>$AB$18</f>
        <v>0</v>
      </c>
      <c r="AR15" s="3">
        <f>$AB$16</f>
        <v>0</v>
      </c>
      <c r="AS15" s="3">
        <f>$AB$14</f>
        <v>0</v>
      </c>
      <c r="AT15" s="3">
        <f>$AB$12</f>
        <v>0</v>
      </c>
      <c r="AU15" s="163" t="str">
        <f>'18 Spieler'!$G$18</f>
        <v> </v>
      </c>
      <c r="AV15" s="3" t="str">
        <f>'18 Spieler'!$O$17</f>
        <v> </v>
      </c>
      <c r="AW15" s="3" t="str">
        <f>'18 Spieler'!$W$16</f>
        <v> </v>
      </c>
      <c r="AX15" s="3" t="str">
        <f>'18 Spieler'!$AE$15</f>
        <v> </v>
      </c>
      <c r="AY15" s="3" t="str">
        <f>'18 Spieler'!$AM$14</f>
        <v> </v>
      </c>
      <c r="AZ15" s="3" t="str">
        <f>'18 Spieler'!$G$26</f>
        <v> </v>
      </c>
      <c r="BA15" s="3" t="str">
        <f>'18 Spieler'!$O$25</f>
        <v> </v>
      </c>
      <c r="BB15" s="3" t="str">
        <f>'18 Spieler'!$Y$26</f>
        <v> </v>
      </c>
      <c r="BC15" s="3" t="str">
        <f>'18 Spieler'!$AG$27</f>
        <v> </v>
      </c>
      <c r="BD15" s="3" t="str">
        <f>'18 Spieler'!$AO$28</f>
        <v> </v>
      </c>
      <c r="BE15" s="3" t="str">
        <f>'18 Spieler'!$I$42</f>
        <v> </v>
      </c>
      <c r="BF15" s="3" t="str">
        <f>'18 Spieler'!$Q$43</f>
        <v> </v>
      </c>
      <c r="BG15" s="3" t="str">
        <f>'18 Spieler'!$Y$44</f>
        <v> </v>
      </c>
      <c r="BH15" s="3" t="str">
        <f>'18 Spieler'!$AG$45</f>
        <v> </v>
      </c>
      <c r="BI15" s="3" t="str">
        <f>'18 Spieler'!$AO$46</f>
        <v> </v>
      </c>
      <c r="BJ15" s="3" t="str">
        <f>'18 Spieler'!$G$59</f>
        <v> </v>
      </c>
      <c r="BK15" s="3" t="str">
        <f>'18 Spieler'!$O$58</f>
        <v> </v>
      </c>
      <c r="BL15" s="163" t="str">
        <f t="shared" si="0"/>
        <v> </v>
      </c>
      <c r="BM15" s="3" t="str">
        <f t="shared" si="1"/>
        <v> </v>
      </c>
      <c r="BN15" s="3" t="str">
        <f t="shared" si="1"/>
        <v> </v>
      </c>
      <c r="BO15" s="3" t="str">
        <f t="shared" si="1"/>
        <v> </v>
      </c>
      <c r="BP15" s="3" t="str">
        <f t="shared" si="1"/>
        <v> </v>
      </c>
      <c r="BQ15" s="3" t="str">
        <f t="shared" si="1"/>
        <v> </v>
      </c>
      <c r="BR15" s="3" t="str">
        <f t="shared" si="1"/>
        <v> </v>
      </c>
      <c r="BS15" s="3" t="str">
        <f t="shared" si="1"/>
        <v> </v>
      </c>
      <c r="BT15" s="3" t="str">
        <f t="shared" si="1"/>
        <v> </v>
      </c>
      <c r="BU15" s="3" t="str">
        <f t="shared" si="1"/>
        <v> </v>
      </c>
      <c r="BV15" s="3" t="str">
        <f t="shared" si="1"/>
        <v> </v>
      </c>
      <c r="BW15" s="3" t="str">
        <f t="shared" si="1"/>
        <v> </v>
      </c>
      <c r="BX15" s="3" t="str">
        <f t="shared" si="1"/>
        <v> </v>
      </c>
      <c r="BY15" s="3" t="str">
        <f t="shared" si="1"/>
        <v> </v>
      </c>
      <c r="BZ15" s="3" t="str">
        <f t="shared" si="1"/>
        <v> </v>
      </c>
      <c r="CA15" s="3" t="str">
        <f t="shared" si="1"/>
        <v> </v>
      </c>
      <c r="CB15" s="3" t="str">
        <f t="shared" si="20"/>
        <v> </v>
      </c>
      <c r="CC15" s="164">
        <f t="shared" si="2"/>
        <v>0</v>
      </c>
      <c r="CD15" s="165">
        <f t="shared" si="3"/>
        <v>0</v>
      </c>
      <c r="CE15" s="165">
        <f t="shared" si="3"/>
        <v>0</v>
      </c>
      <c r="CF15" s="165">
        <f t="shared" si="3"/>
        <v>0</v>
      </c>
      <c r="CG15" s="165">
        <f t="shared" si="3"/>
        <v>0</v>
      </c>
      <c r="CH15" s="165">
        <f t="shared" si="3"/>
        <v>0</v>
      </c>
      <c r="CI15" s="165">
        <f t="shared" si="3"/>
        <v>0</v>
      </c>
      <c r="CJ15" s="165">
        <f t="shared" si="3"/>
        <v>0</v>
      </c>
      <c r="CK15" s="165">
        <f t="shared" si="3"/>
        <v>0</v>
      </c>
      <c r="CL15" s="165">
        <f t="shared" si="3"/>
        <v>0</v>
      </c>
      <c r="CM15" s="165">
        <f t="shared" si="3"/>
        <v>0</v>
      </c>
      <c r="CN15" s="165">
        <f t="shared" si="3"/>
        <v>0</v>
      </c>
      <c r="CO15" s="165">
        <f t="shared" si="3"/>
        <v>0</v>
      </c>
      <c r="CP15" s="165">
        <f t="shared" si="3"/>
        <v>0</v>
      </c>
      <c r="CQ15" s="165">
        <f t="shared" si="3"/>
        <v>0</v>
      </c>
      <c r="CR15" s="165">
        <f t="shared" si="3"/>
        <v>0</v>
      </c>
      <c r="CS15" s="165">
        <f t="shared" si="21"/>
        <v>0</v>
      </c>
      <c r="CT15" s="166">
        <f t="shared" si="7"/>
        <v>0</v>
      </c>
      <c r="CU15" s="1">
        <f t="shared" si="8"/>
        <v>0</v>
      </c>
      <c r="CV15" s="157">
        <f t="shared" si="9"/>
        <v>15</v>
      </c>
      <c r="CW15" s="157">
        <f t="shared" si="10"/>
        <v>1</v>
      </c>
      <c r="CX15" s="157">
        <f t="shared" si="4"/>
        <v>0</v>
      </c>
      <c r="CY15" s="157">
        <f t="shared" si="11"/>
        <v>15</v>
      </c>
      <c r="CZ15" s="1">
        <f t="shared" si="12"/>
        <v>0</v>
      </c>
      <c r="DA15" s="5">
        <f t="shared" si="22"/>
        <v>0</v>
      </c>
    </row>
    <row r="16" spans="2:105" ht="19.5" customHeight="1">
      <c r="B16" s="45">
        <f>IF(AND(D15=D16,E15=E16,F15=F16),"","12.")</f>
      </c>
      <c r="C16" s="46" t="str">
        <f t="shared" si="14"/>
        <v>Spieler 12</v>
      </c>
      <c r="D16" s="47">
        <f t="shared" si="15"/>
        <v>0</v>
      </c>
      <c r="E16" s="55">
        <f t="shared" si="16"/>
      </c>
      <c r="F16" s="63" t="str">
        <f t="shared" si="17"/>
        <v> </v>
      </c>
      <c r="I16" s="45">
        <f t="shared" si="18"/>
        <v>12</v>
      </c>
      <c r="J16" s="46" t="str">
        <f>'Kreuztabelle 18'!C40</f>
        <v>Spieler 12</v>
      </c>
      <c r="K16" s="47">
        <f>IF(COUNT('Kreuztabelle 18'!D40:'Kreuztabelle 18'!U40)&gt;0,COUNT('Kreuztabelle 18'!D40:'Kreuztabelle 18'!U40),0)</f>
        <v>0</v>
      </c>
      <c r="L16" s="55">
        <f>'Kreuztabelle 18'!W40</f>
      </c>
      <c r="M16" s="63" t="str">
        <f>'Kreuztabelle 18'!V40</f>
        <v> </v>
      </c>
      <c r="N16">
        <f>IF(M16=" ",0.07,M16*100000+L16*1000-K16+0.07)</f>
        <v>0.07</v>
      </c>
      <c r="O16" s="65">
        <f t="shared" si="5"/>
        <v>18</v>
      </c>
      <c r="P16" s="65" t="e">
        <f>IF(AND(D15=D16,E15=E16,F15=F16),P15,12)</f>
        <v>#VALUE!</v>
      </c>
      <c r="Q16" s="66" t="e">
        <f t="shared" si="19"/>
        <v>#VALUE!</v>
      </c>
      <c r="R16" s="66" t="str">
        <f t="shared" si="6"/>
        <v> </v>
      </c>
      <c r="T16" s="1">
        <v>12</v>
      </c>
      <c r="AA16" t="str">
        <f>Eingabe!G8</f>
        <v>Spieler 13</v>
      </c>
      <c r="AB16" s="1">
        <f>IF(Eingabe!I8=" ",0,Eingabe!I8)</f>
        <v>0</v>
      </c>
      <c r="AC16" s="1">
        <f>IF(Eingabe!H8=5,5,IF(Eingabe!H8=10,10,15))</f>
        <v>15</v>
      </c>
      <c r="AD16" s="163">
        <f>$AB$9</f>
        <v>0</v>
      </c>
      <c r="AE16" s="3">
        <f>$AB$7</f>
        <v>0</v>
      </c>
      <c r="AF16" s="3">
        <f>$AB$5</f>
        <v>0</v>
      </c>
      <c r="AG16" s="3">
        <f>$AB$20</f>
        <v>0</v>
      </c>
      <c r="AH16" s="3">
        <f>$AB$18</f>
        <v>0</v>
      </c>
      <c r="AI16" s="3">
        <f>$AB$21</f>
        <v>0</v>
      </c>
      <c r="AJ16" s="3">
        <f>$AB$14</f>
        <v>0</v>
      </c>
      <c r="AK16" s="3">
        <f>$AB$12</f>
        <v>0</v>
      </c>
      <c r="AL16" s="3">
        <f>$AB$10</f>
        <v>0</v>
      </c>
      <c r="AM16" s="3">
        <f>$AB$8</f>
        <v>0</v>
      </c>
      <c r="AN16" s="3">
        <f>$AB$6</f>
        <v>0</v>
      </c>
      <c r="AO16" s="3">
        <f>$AB$4</f>
        <v>0</v>
      </c>
      <c r="AP16" s="3">
        <f>$AB$19</f>
        <v>0</v>
      </c>
      <c r="AQ16" s="3">
        <f>$AB$17</f>
        <v>0</v>
      </c>
      <c r="AR16" s="3">
        <f>$AB$15</f>
        <v>0</v>
      </c>
      <c r="AS16" s="3">
        <f>$AB$13</f>
        <v>0</v>
      </c>
      <c r="AT16" s="3">
        <f>$AB$11</f>
        <v>0</v>
      </c>
      <c r="AU16" s="163" t="str">
        <f>'18 Spieler'!$G$17</f>
        <v> </v>
      </c>
      <c r="AV16" s="3" t="str">
        <f>'18 Spieler'!$O$16</f>
        <v> </v>
      </c>
      <c r="AW16" s="3" t="str">
        <f>'18 Spieler'!$W$15</f>
        <v> </v>
      </c>
      <c r="AX16" s="3" t="str">
        <f>'18 Spieler'!$AE$14</f>
        <v> </v>
      </c>
      <c r="AY16" s="3" t="str">
        <f>'18 Spieler'!$AM$13</f>
        <v> </v>
      </c>
      <c r="AZ16" s="3" t="str">
        <f>'18 Spieler'!$G$25</f>
        <v> </v>
      </c>
      <c r="BA16" s="3" t="str">
        <f>'18 Spieler'!$Q$26</f>
        <v> </v>
      </c>
      <c r="BB16" s="3" t="str">
        <f>'18 Spieler'!$Y$27</f>
        <v> </v>
      </c>
      <c r="BC16" s="3" t="str">
        <f>'18 Spieler'!$AG$28</f>
        <v> </v>
      </c>
      <c r="BD16" s="3" t="str">
        <f>'18 Spieler'!$AO$29</f>
        <v> </v>
      </c>
      <c r="BE16" s="3" t="str">
        <f>'18 Spieler'!$I$43</f>
        <v> </v>
      </c>
      <c r="BF16" s="3" t="str">
        <f>'18 Spieler'!$Q$44</f>
        <v> </v>
      </c>
      <c r="BG16" s="3" t="str">
        <f>'18 Spieler'!$Y$45</f>
        <v> </v>
      </c>
      <c r="BH16" s="3" t="str">
        <f>'18 Spieler'!$AG$46</f>
        <v> </v>
      </c>
      <c r="BI16" s="3" t="str">
        <f>'18 Spieler'!$AM$46</f>
        <v> </v>
      </c>
      <c r="BJ16" s="3" t="str">
        <f>'18 Spieler'!$G$58</f>
        <v> </v>
      </c>
      <c r="BK16" s="3" t="str">
        <f>'18 Spieler'!$O$57</f>
        <v> </v>
      </c>
      <c r="BL16" s="163" t="str">
        <f t="shared" si="0"/>
        <v> </v>
      </c>
      <c r="BM16" s="3" t="str">
        <f t="shared" si="1"/>
        <v> </v>
      </c>
      <c r="BN16" s="3" t="str">
        <f t="shared" si="1"/>
        <v> </v>
      </c>
      <c r="BO16" s="3" t="str">
        <f t="shared" si="1"/>
        <v> </v>
      </c>
      <c r="BP16" s="3" t="str">
        <f t="shared" si="1"/>
        <v> </v>
      </c>
      <c r="BQ16" s="3" t="str">
        <f t="shared" si="1"/>
        <v> </v>
      </c>
      <c r="BR16" s="3" t="str">
        <f t="shared" si="1"/>
        <v> </v>
      </c>
      <c r="BS16" s="3" t="str">
        <f t="shared" si="1"/>
        <v> </v>
      </c>
      <c r="BT16" s="3" t="str">
        <f t="shared" si="1"/>
        <v> </v>
      </c>
      <c r="BU16" s="3" t="str">
        <f t="shared" si="1"/>
        <v> </v>
      </c>
      <c r="BV16" s="3" t="str">
        <f t="shared" si="1"/>
        <v> </v>
      </c>
      <c r="BW16" s="3" t="str">
        <f t="shared" si="1"/>
        <v> </v>
      </c>
      <c r="BX16" s="3" t="str">
        <f t="shared" si="1"/>
        <v> </v>
      </c>
      <c r="BY16" s="3" t="str">
        <f t="shared" si="1"/>
        <v> </v>
      </c>
      <c r="BZ16" s="3" t="str">
        <f t="shared" si="1"/>
        <v> </v>
      </c>
      <c r="CA16" s="3" t="str">
        <f t="shared" si="1"/>
        <v> </v>
      </c>
      <c r="CB16" s="3" t="str">
        <f t="shared" si="20"/>
        <v> </v>
      </c>
      <c r="CC16" s="164">
        <f t="shared" si="2"/>
        <v>0</v>
      </c>
      <c r="CD16" s="165">
        <f t="shared" si="3"/>
        <v>0</v>
      </c>
      <c r="CE16" s="165">
        <f t="shared" si="3"/>
        <v>0</v>
      </c>
      <c r="CF16" s="165">
        <f t="shared" si="3"/>
        <v>0</v>
      </c>
      <c r="CG16" s="165">
        <f t="shared" si="3"/>
        <v>0</v>
      </c>
      <c r="CH16" s="165">
        <f t="shared" si="3"/>
        <v>0</v>
      </c>
      <c r="CI16" s="165">
        <f t="shared" si="3"/>
        <v>0</v>
      </c>
      <c r="CJ16" s="165">
        <f t="shared" si="3"/>
        <v>0</v>
      </c>
      <c r="CK16" s="165">
        <f t="shared" si="3"/>
        <v>0</v>
      </c>
      <c r="CL16" s="165">
        <f t="shared" si="3"/>
        <v>0</v>
      </c>
      <c r="CM16" s="165">
        <f t="shared" si="3"/>
        <v>0</v>
      </c>
      <c r="CN16" s="165">
        <f t="shared" si="3"/>
        <v>0</v>
      </c>
      <c r="CO16" s="165">
        <f t="shared" si="3"/>
        <v>0</v>
      </c>
      <c r="CP16" s="165">
        <f t="shared" si="3"/>
        <v>0</v>
      </c>
      <c r="CQ16" s="165">
        <f t="shared" si="3"/>
        <v>0</v>
      </c>
      <c r="CR16" s="165">
        <f t="shared" si="3"/>
        <v>0</v>
      </c>
      <c r="CS16" s="165">
        <f t="shared" si="21"/>
        <v>0</v>
      </c>
      <c r="CT16" s="166">
        <f t="shared" si="7"/>
        <v>0</v>
      </c>
      <c r="CU16" s="1">
        <f t="shared" si="8"/>
        <v>0</v>
      </c>
      <c r="CV16" s="157">
        <f t="shared" si="9"/>
        <v>15</v>
      </c>
      <c r="CW16" s="157">
        <f t="shared" si="10"/>
        <v>1</v>
      </c>
      <c r="CX16" s="157">
        <f t="shared" si="4"/>
        <v>0</v>
      </c>
      <c r="CY16" s="157">
        <f t="shared" si="11"/>
        <v>15</v>
      </c>
      <c r="CZ16" s="1">
        <f t="shared" si="12"/>
        <v>0</v>
      </c>
      <c r="DA16" s="5">
        <f t="shared" si="22"/>
        <v>0</v>
      </c>
    </row>
    <row r="17" spans="2:105" ht="19.5" customHeight="1">
      <c r="B17" s="45">
        <f>IF(AND(D16=D17,E16=E17,F16=F17),"","13.")</f>
      </c>
      <c r="C17" s="46" t="str">
        <f t="shared" si="14"/>
        <v>Spieler 13</v>
      </c>
      <c r="D17" s="47">
        <f t="shared" si="15"/>
        <v>0</v>
      </c>
      <c r="E17" s="55">
        <f t="shared" si="16"/>
      </c>
      <c r="F17" s="63" t="str">
        <f t="shared" si="17"/>
        <v> </v>
      </c>
      <c r="I17" s="45">
        <f t="shared" si="18"/>
        <v>13</v>
      </c>
      <c r="J17" s="46" t="str">
        <f>'Kreuztabelle 18'!C41</f>
        <v>Spieler 13</v>
      </c>
      <c r="K17" s="47">
        <f>IF(COUNT('Kreuztabelle 18'!D41:'Kreuztabelle 18'!U41)&gt;0,COUNT('Kreuztabelle 18'!D41:'Kreuztabelle 18'!U41),0)</f>
        <v>0</v>
      </c>
      <c r="L17" s="55">
        <f>'Kreuztabelle 18'!W41</f>
      </c>
      <c r="M17" s="63" t="str">
        <f>'Kreuztabelle 18'!V41</f>
        <v> </v>
      </c>
      <c r="N17">
        <f>IF(M17=" ",0.06,M17*100000+L17*1000-K17+0.06)</f>
        <v>0.06</v>
      </c>
      <c r="O17" s="65">
        <f t="shared" si="5"/>
        <v>18</v>
      </c>
      <c r="P17" s="65" t="e">
        <f>IF(AND(D16=D17,E16=E17,F16=F17),P16,13)</f>
        <v>#VALUE!</v>
      </c>
      <c r="Q17" s="66" t="e">
        <f t="shared" si="19"/>
        <v>#VALUE!</v>
      </c>
      <c r="R17" s="66" t="str">
        <f t="shared" si="6"/>
        <v> </v>
      </c>
      <c r="T17" s="1">
        <v>13</v>
      </c>
      <c r="AA17" t="str">
        <f>Eingabe!G9</f>
        <v>Spieler 14</v>
      </c>
      <c r="AB17" s="1">
        <f>IF(Eingabe!I9=" ",0,Eingabe!I9)</f>
        <v>0</v>
      </c>
      <c r="AC17" s="1">
        <f>IF(Eingabe!H9=5,5,IF(Eingabe!H9=10,10,15))</f>
        <v>15</v>
      </c>
      <c r="AD17" s="163">
        <f>$AB$8</f>
        <v>0</v>
      </c>
      <c r="AE17" s="3">
        <f>$AB$6</f>
        <v>0</v>
      </c>
      <c r="AF17" s="3">
        <f>$AB$4</f>
        <v>0</v>
      </c>
      <c r="AG17" s="3">
        <f>$AB$19</f>
        <v>0</v>
      </c>
      <c r="AH17" s="3">
        <f>$AB$21</f>
        <v>0</v>
      </c>
      <c r="AI17" s="3">
        <f>$AB$15</f>
        <v>0</v>
      </c>
      <c r="AJ17" s="3">
        <f>$AB$13</f>
        <v>0</v>
      </c>
      <c r="AK17" s="3">
        <f>$AB$11</f>
        <v>0</v>
      </c>
      <c r="AL17" s="3">
        <f>$AB$9</f>
        <v>0</v>
      </c>
      <c r="AM17" s="3">
        <f>$AB$7</f>
        <v>0</v>
      </c>
      <c r="AN17" s="3">
        <f>$AB$5</f>
        <v>0</v>
      </c>
      <c r="AO17" s="3">
        <f>$AB$20</f>
        <v>0</v>
      </c>
      <c r="AP17" s="3">
        <f>$AB$18</f>
        <v>0</v>
      </c>
      <c r="AQ17" s="3">
        <f>$AB$16</f>
        <v>0</v>
      </c>
      <c r="AR17" s="3">
        <f>$AB$14</f>
        <v>0</v>
      </c>
      <c r="AS17" s="3">
        <f>$AB$12</f>
        <v>0</v>
      </c>
      <c r="AT17" s="3">
        <f>$AB$10</f>
        <v>0</v>
      </c>
      <c r="AU17" s="163" t="str">
        <f>'18 Spieler'!$G$16</f>
        <v> </v>
      </c>
      <c r="AV17" s="3" t="str">
        <f>'18 Spieler'!$O$15</f>
        <v> </v>
      </c>
      <c r="AW17" s="3" t="str">
        <f>'18 Spieler'!$W$14</f>
        <v> </v>
      </c>
      <c r="AX17" s="3" t="str">
        <f>'18 Spieler'!$AE$13</f>
        <v> </v>
      </c>
      <c r="AY17" s="3" t="str">
        <f>'18 Spieler'!$AM$12</f>
        <v> </v>
      </c>
      <c r="AZ17" s="3" t="str">
        <f>'18 Spieler'!$I$26</f>
        <v> </v>
      </c>
      <c r="BA17" s="3" t="str">
        <f>'18 Spieler'!$Q$27</f>
        <v> </v>
      </c>
      <c r="BB17" s="3" t="str">
        <f>'18 Spieler'!$Y$28</f>
        <v> </v>
      </c>
      <c r="BC17" s="3" t="str">
        <f>'18 Spieler'!$AG$29</f>
        <v> </v>
      </c>
      <c r="BD17" s="3" t="str">
        <f>'18 Spieler'!$AO$30</f>
        <v> </v>
      </c>
      <c r="BE17" s="3" t="str">
        <f>'18 Spieler'!$I$44</f>
        <v> </v>
      </c>
      <c r="BF17" s="3" t="str">
        <f>'18 Spieler'!$Q$45</f>
        <v> </v>
      </c>
      <c r="BG17" s="3" t="str">
        <f>'18 Spieler'!$Y$46</f>
        <v> </v>
      </c>
      <c r="BH17" s="3" t="str">
        <f>'18 Spieler'!$AE$46</f>
        <v> </v>
      </c>
      <c r="BI17" s="3" t="str">
        <f>'18 Spieler'!$AM45</f>
        <v> </v>
      </c>
      <c r="BJ17" s="3" t="str">
        <f>'18 Spieler'!$G$57</f>
        <v> </v>
      </c>
      <c r="BK17" s="3" t="str">
        <f>'18 Spieler'!$O$56</f>
        <v> </v>
      </c>
      <c r="BL17" s="163" t="str">
        <f t="shared" si="0"/>
        <v> </v>
      </c>
      <c r="BM17" s="3" t="str">
        <f t="shared" si="1"/>
        <v> </v>
      </c>
      <c r="BN17" s="3" t="str">
        <f t="shared" si="1"/>
        <v> </v>
      </c>
      <c r="BO17" s="3" t="str">
        <f t="shared" si="1"/>
        <v> </v>
      </c>
      <c r="BP17" s="3" t="str">
        <f t="shared" si="1"/>
        <v> </v>
      </c>
      <c r="BQ17" s="3" t="str">
        <f t="shared" si="1"/>
        <v> </v>
      </c>
      <c r="BR17" s="3" t="str">
        <f t="shared" si="1"/>
        <v> </v>
      </c>
      <c r="BS17" s="3" t="str">
        <f t="shared" si="1"/>
        <v> </v>
      </c>
      <c r="BT17" s="3" t="str">
        <f t="shared" si="1"/>
        <v> </v>
      </c>
      <c r="BU17" s="3" t="str">
        <f t="shared" si="1"/>
        <v> </v>
      </c>
      <c r="BV17" s="3" t="str">
        <f t="shared" si="1"/>
        <v> </v>
      </c>
      <c r="BW17" s="3" t="str">
        <f t="shared" si="1"/>
        <v> </v>
      </c>
      <c r="BX17" s="3" t="str">
        <f t="shared" si="1"/>
        <v> </v>
      </c>
      <c r="BY17" s="3" t="str">
        <f t="shared" si="1"/>
        <v> </v>
      </c>
      <c r="BZ17" s="3" t="str">
        <f t="shared" si="1"/>
        <v> </v>
      </c>
      <c r="CA17" s="3" t="str">
        <f t="shared" si="1"/>
        <v> </v>
      </c>
      <c r="CB17" s="3" t="str">
        <f t="shared" si="20"/>
        <v> </v>
      </c>
      <c r="CC17" s="164">
        <f t="shared" si="2"/>
        <v>0</v>
      </c>
      <c r="CD17" s="165">
        <f t="shared" si="3"/>
        <v>0</v>
      </c>
      <c r="CE17" s="165">
        <f t="shared" si="3"/>
        <v>0</v>
      </c>
      <c r="CF17" s="165">
        <f t="shared" si="3"/>
        <v>0</v>
      </c>
      <c r="CG17" s="165">
        <f t="shared" si="3"/>
        <v>0</v>
      </c>
      <c r="CH17" s="165">
        <f t="shared" si="3"/>
        <v>0</v>
      </c>
      <c r="CI17" s="165">
        <f t="shared" si="3"/>
        <v>0</v>
      </c>
      <c r="CJ17" s="165">
        <f t="shared" si="3"/>
        <v>0</v>
      </c>
      <c r="CK17" s="165">
        <f t="shared" si="3"/>
        <v>0</v>
      </c>
      <c r="CL17" s="165">
        <f t="shared" si="3"/>
        <v>0</v>
      </c>
      <c r="CM17" s="165">
        <f t="shared" si="3"/>
        <v>0</v>
      </c>
      <c r="CN17" s="165">
        <f t="shared" si="3"/>
        <v>0</v>
      </c>
      <c r="CO17" s="165">
        <f t="shared" si="3"/>
        <v>0</v>
      </c>
      <c r="CP17" s="165">
        <f t="shared" si="3"/>
        <v>0</v>
      </c>
      <c r="CQ17" s="165">
        <f t="shared" si="3"/>
        <v>0</v>
      </c>
      <c r="CR17" s="165">
        <f t="shared" si="3"/>
        <v>0</v>
      </c>
      <c r="CS17" s="165">
        <f t="shared" si="21"/>
        <v>0</v>
      </c>
      <c r="CT17" s="166">
        <f t="shared" si="7"/>
        <v>0</v>
      </c>
      <c r="CU17" s="1">
        <f t="shared" si="8"/>
        <v>0</v>
      </c>
      <c r="CV17" s="157">
        <f t="shared" si="9"/>
        <v>15</v>
      </c>
      <c r="CW17" s="157">
        <f t="shared" si="10"/>
        <v>1</v>
      </c>
      <c r="CX17" s="157">
        <f t="shared" si="4"/>
        <v>0</v>
      </c>
      <c r="CY17" s="157">
        <f t="shared" si="11"/>
        <v>15</v>
      </c>
      <c r="CZ17" s="1">
        <f t="shared" si="12"/>
        <v>0</v>
      </c>
      <c r="DA17" s="5">
        <f t="shared" si="22"/>
        <v>0</v>
      </c>
    </row>
    <row r="18" spans="2:105" ht="19.5" customHeight="1">
      <c r="B18" s="45">
        <f>IF(AND(D17=D18,E17=E18,F17=F18),"","14.")</f>
      </c>
      <c r="C18" s="48" t="str">
        <f t="shared" si="14"/>
        <v>Spieler 14</v>
      </c>
      <c r="D18" s="47">
        <f t="shared" si="15"/>
        <v>0</v>
      </c>
      <c r="E18" s="55">
        <f t="shared" si="16"/>
      </c>
      <c r="F18" s="63" t="str">
        <f t="shared" si="17"/>
        <v> </v>
      </c>
      <c r="I18" s="45">
        <f t="shared" si="18"/>
        <v>14</v>
      </c>
      <c r="J18" s="46" t="str">
        <f>'Kreuztabelle 18'!C42</f>
        <v>Spieler 14</v>
      </c>
      <c r="K18" s="47">
        <f>IF(COUNT('Kreuztabelle 18'!D42:'Kreuztabelle 18'!U42)&gt;0,COUNT('Kreuztabelle 18'!D42:'Kreuztabelle 18'!U42),0)</f>
        <v>0</v>
      </c>
      <c r="L18" s="55">
        <f>'Kreuztabelle 18'!W42</f>
      </c>
      <c r="M18" s="63" t="str">
        <f>'Kreuztabelle 18'!V42</f>
        <v> </v>
      </c>
      <c r="N18">
        <f>IF(M18=" ",0.05,M18*100000+L18*1000-K18+0.05)</f>
        <v>0.05</v>
      </c>
      <c r="O18" s="65">
        <f t="shared" si="5"/>
        <v>18</v>
      </c>
      <c r="P18" s="65" t="e">
        <f>IF(AND(D17=D18,E17=E18,F17=F18),P17,14)</f>
        <v>#VALUE!</v>
      </c>
      <c r="Q18" s="66" t="e">
        <f t="shared" si="19"/>
        <v>#VALUE!</v>
      </c>
      <c r="R18" s="66" t="str">
        <f t="shared" si="6"/>
        <v> </v>
      </c>
      <c r="T18" s="1">
        <v>14</v>
      </c>
      <c r="AA18" t="str">
        <f>Eingabe!G10</f>
        <v>Spieler 15</v>
      </c>
      <c r="AB18" s="1">
        <f>IF(Eingabe!I10=" ",0,Eingabe!I10)</f>
        <v>0</v>
      </c>
      <c r="AC18" s="1">
        <f>IF(Eingabe!H10=5,5,IF(Eingabe!H10=10,10,15))</f>
        <v>15</v>
      </c>
      <c r="AD18" s="163">
        <f>$AB$7</f>
        <v>0</v>
      </c>
      <c r="AE18" s="3">
        <f>$AB$5</f>
        <v>0</v>
      </c>
      <c r="AF18" s="3">
        <f>$AB$20</f>
        <v>0</v>
      </c>
      <c r="AG18" s="3">
        <f>$AB$21</f>
        <v>0</v>
      </c>
      <c r="AH18" s="3">
        <f>$AB$16</f>
        <v>0</v>
      </c>
      <c r="AI18" s="3">
        <f>$AB$14</f>
        <v>0</v>
      </c>
      <c r="AJ18" s="3">
        <f>$AB$12</f>
        <v>0</v>
      </c>
      <c r="AK18" s="3">
        <f>$AB$10</f>
        <v>0</v>
      </c>
      <c r="AL18" s="3">
        <f>$AB$8</f>
        <v>0</v>
      </c>
      <c r="AM18" s="3">
        <f>$AB$6</f>
        <v>0</v>
      </c>
      <c r="AN18" s="3">
        <f>$AB$4</f>
        <v>0</v>
      </c>
      <c r="AO18" s="3">
        <f>$AB$19</f>
        <v>0</v>
      </c>
      <c r="AP18" s="3">
        <f>$AB$17</f>
        <v>0</v>
      </c>
      <c r="AQ18" s="3">
        <f>$AB$15</f>
        <v>0</v>
      </c>
      <c r="AR18" s="3">
        <f>$AB$13</f>
        <v>0</v>
      </c>
      <c r="AS18" s="3">
        <f>$AB$11</f>
        <v>0</v>
      </c>
      <c r="AT18" s="3">
        <f>$AB$9</f>
        <v>0</v>
      </c>
      <c r="AU18" s="163" t="str">
        <f>'18 Spieler'!$G$15</f>
        <v> </v>
      </c>
      <c r="AV18" s="3" t="str">
        <f>'18 Spieler'!$O$14</f>
        <v> </v>
      </c>
      <c r="AW18" s="3" t="str">
        <f>'18 Spieler'!$W$13</f>
        <v> </v>
      </c>
      <c r="AX18" s="3" t="str">
        <f>'18 Spieler'!$AE$12</f>
        <v> </v>
      </c>
      <c r="AY18" s="3" t="str">
        <f>'18 Spieler'!$AO$13</f>
        <v> </v>
      </c>
      <c r="AZ18" s="3" t="str">
        <f>'18 Spieler'!$I$27</f>
        <v> </v>
      </c>
      <c r="BA18" s="3" t="str">
        <f>'18 Spieler'!$Q$28</f>
        <v> </v>
      </c>
      <c r="BB18" s="3" t="str">
        <f>'18 Spieler'!$Y$29</f>
        <v> </v>
      </c>
      <c r="BC18" s="3" t="str">
        <f>'18 Spieler'!$AG$30</f>
        <v> </v>
      </c>
      <c r="BD18" s="3" t="str">
        <f>'18 Spieler'!$AO$31</f>
        <v> </v>
      </c>
      <c r="BE18" s="3" t="str">
        <f>'18 Spieler'!$I$45</f>
        <v> </v>
      </c>
      <c r="BF18" s="3" t="str">
        <f>'18 Spieler'!$Q$46</f>
        <v> </v>
      </c>
      <c r="BG18" s="3" t="str">
        <f>'18 Spieler'!$W$46</f>
        <v> </v>
      </c>
      <c r="BH18" s="3" t="str">
        <f>'18 Spieler'!$AE$45</f>
        <v> </v>
      </c>
      <c r="BI18" s="3" t="str">
        <f>'18 Spieler'!$AM$44</f>
        <v> </v>
      </c>
      <c r="BJ18" s="3" t="str">
        <f>'18 Spieler'!$G$56</f>
        <v> </v>
      </c>
      <c r="BK18" s="3" t="str">
        <f>'18 Spieler'!$O$55</f>
        <v> </v>
      </c>
      <c r="BL18" s="163" t="str">
        <f t="shared" si="0"/>
        <v> </v>
      </c>
      <c r="BM18" s="3" t="str">
        <f t="shared" si="1"/>
        <v> </v>
      </c>
      <c r="BN18" s="3" t="str">
        <f t="shared" si="1"/>
        <v> </v>
      </c>
      <c r="BO18" s="3" t="str">
        <f t="shared" si="1"/>
        <v> </v>
      </c>
      <c r="BP18" s="3" t="str">
        <f t="shared" si="1"/>
        <v> </v>
      </c>
      <c r="BQ18" s="3" t="str">
        <f t="shared" si="1"/>
        <v> </v>
      </c>
      <c r="BR18" s="3" t="str">
        <f t="shared" si="1"/>
        <v> </v>
      </c>
      <c r="BS18" s="3" t="str">
        <f t="shared" si="1"/>
        <v> </v>
      </c>
      <c r="BT18" s="3" t="str">
        <f t="shared" si="1"/>
        <v> </v>
      </c>
      <c r="BU18" s="3" t="str">
        <f t="shared" si="1"/>
        <v> </v>
      </c>
      <c r="BV18" s="3" t="str">
        <f t="shared" si="1"/>
        <v> </v>
      </c>
      <c r="BW18" s="3" t="str">
        <f t="shared" si="1"/>
        <v> </v>
      </c>
      <c r="BX18" s="3" t="str">
        <f t="shared" si="1"/>
        <v> </v>
      </c>
      <c r="BY18" s="3" t="str">
        <f t="shared" si="1"/>
        <v> </v>
      </c>
      <c r="BZ18" s="3" t="str">
        <f t="shared" si="1"/>
        <v> </v>
      </c>
      <c r="CA18" s="3" t="str">
        <f t="shared" si="1"/>
        <v> </v>
      </c>
      <c r="CB18" s="3" t="str">
        <f t="shared" si="20"/>
        <v> </v>
      </c>
      <c r="CC18" s="164">
        <f t="shared" si="2"/>
        <v>0</v>
      </c>
      <c r="CD18" s="165">
        <f t="shared" si="3"/>
        <v>0</v>
      </c>
      <c r="CE18" s="165">
        <f t="shared" si="3"/>
        <v>0</v>
      </c>
      <c r="CF18" s="165">
        <f t="shared" si="3"/>
        <v>0</v>
      </c>
      <c r="CG18" s="165">
        <f t="shared" si="3"/>
        <v>0</v>
      </c>
      <c r="CH18" s="165">
        <f t="shared" si="3"/>
        <v>0</v>
      </c>
      <c r="CI18" s="165">
        <f t="shared" si="3"/>
        <v>0</v>
      </c>
      <c r="CJ18" s="165">
        <f t="shared" si="3"/>
        <v>0</v>
      </c>
      <c r="CK18" s="165">
        <f t="shared" si="3"/>
        <v>0</v>
      </c>
      <c r="CL18" s="165">
        <f t="shared" si="3"/>
        <v>0</v>
      </c>
      <c r="CM18" s="165">
        <f t="shared" si="3"/>
        <v>0</v>
      </c>
      <c r="CN18" s="165">
        <f t="shared" si="3"/>
        <v>0</v>
      </c>
      <c r="CO18" s="165">
        <f t="shared" si="3"/>
        <v>0</v>
      </c>
      <c r="CP18" s="165">
        <f t="shared" si="3"/>
        <v>0</v>
      </c>
      <c r="CQ18" s="165">
        <f t="shared" si="3"/>
        <v>0</v>
      </c>
      <c r="CR18" s="165">
        <f t="shared" si="3"/>
        <v>0</v>
      </c>
      <c r="CS18" s="165">
        <f t="shared" si="21"/>
        <v>0</v>
      </c>
      <c r="CT18" s="166">
        <f t="shared" si="7"/>
        <v>0</v>
      </c>
      <c r="CU18" s="1">
        <f t="shared" si="8"/>
        <v>0</v>
      </c>
      <c r="CV18" s="157">
        <f t="shared" si="9"/>
        <v>15</v>
      </c>
      <c r="CW18" s="157">
        <f t="shared" si="10"/>
        <v>1</v>
      </c>
      <c r="CX18" s="157">
        <f t="shared" si="4"/>
        <v>0</v>
      </c>
      <c r="CY18" s="157">
        <f t="shared" si="11"/>
        <v>15</v>
      </c>
      <c r="CZ18" s="1">
        <f t="shared" si="12"/>
        <v>0</v>
      </c>
      <c r="DA18" s="5">
        <f t="shared" si="22"/>
        <v>0</v>
      </c>
    </row>
    <row r="19" spans="2:105" ht="19.5" customHeight="1">
      <c r="B19" s="45">
        <f>IF(AND(D18=D19,E18=E19,F18=F19),"","15.")</f>
      </c>
      <c r="C19" s="46" t="str">
        <f t="shared" si="14"/>
        <v>Spieler 15</v>
      </c>
      <c r="D19" s="47">
        <f t="shared" si="15"/>
        <v>0</v>
      </c>
      <c r="E19" s="55">
        <f t="shared" si="16"/>
      </c>
      <c r="F19" s="63" t="str">
        <f t="shared" si="17"/>
        <v> </v>
      </c>
      <c r="I19" s="45">
        <f t="shared" si="18"/>
        <v>15</v>
      </c>
      <c r="J19" s="46" t="str">
        <f>'Kreuztabelle 18'!C43</f>
        <v>Spieler 15</v>
      </c>
      <c r="K19" s="47">
        <f>IF(COUNT('Kreuztabelle 18'!D43:'Kreuztabelle 18'!U43)&gt;0,COUNT('Kreuztabelle 18'!D43:'Kreuztabelle 18'!U43),0)</f>
        <v>0</v>
      </c>
      <c r="L19" s="55">
        <f>'Kreuztabelle 18'!W43</f>
      </c>
      <c r="M19" s="63" t="str">
        <f>'Kreuztabelle 18'!V43</f>
        <v> </v>
      </c>
      <c r="N19">
        <f>IF(M19=" ",0.04,M19*100000+L19*1000-K19+0.04)</f>
        <v>0.04</v>
      </c>
      <c r="O19" s="65">
        <f t="shared" si="5"/>
        <v>18</v>
      </c>
      <c r="P19" s="65" t="e">
        <f>IF(AND(D18=D19,E18=E19,F18=F19),P18,15)</f>
        <v>#VALUE!</v>
      </c>
      <c r="Q19" s="66" t="e">
        <f t="shared" si="19"/>
        <v>#VALUE!</v>
      </c>
      <c r="R19" s="66" t="str">
        <f t="shared" si="6"/>
        <v> </v>
      </c>
      <c r="T19" s="1">
        <v>15</v>
      </c>
      <c r="AA19" t="str">
        <f>Eingabe!G11</f>
        <v>Spieler 16</v>
      </c>
      <c r="AB19" s="1">
        <f>IF(Eingabe!I11=" ",0,Eingabe!I11)</f>
        <v>0</v>
      </c>
      <c r="AC19" s="1">
        <f>IF(Eingabe!H11=5,5,IF(Eingabe!H11=10,10,15))</f>
        <v>15</v>
      </c>
      <c r="AD19" s="163">
        <f>$AB$6</f>
        <v>0</v>
      </c>
      <c r="AE19" s="3">
        <f>$AB$4</f>
        <v>0</v>
      </c>
      <c r="AF19" s="3">
        <f>$AB$21</f>
        <v>0</v>
      </c>
      <c r="AG19" s="3">
        <f>$AB$17</f>
        <v>0</v>
      </c>
      <c r="AH19" s="3">
        <f>$AB$15</f>
        <v>0</v>
      </c>
      <c r="AI19" s="3">
        <f>$AB$13</f>
        <v>0</v>
      </c>
      <c r="AJ19" s="3">
        <f>$AB$11</f>
        <v>0</v>
      </c>
      <c r="AK19" s="3">
        <f>$AB$9</f>
        <v>0</v>
      </c>
      <c r="AL19" s="3">
        <f>$AB$7</f>
        <v>0</v>
      </c>
      <c r="AM19" s="3">
        <f>$AB$5</f>
        <v>0</v>
      </c>
      <c r="AN19" s="3">
        <f>$AB$20</f>
        <v>0</v>
      </c>
      <c r="AO19" s="3">
        <f>$AB$18</f>
        <v>0</v>
      </c>
      <c r="AP19" s="3">
        <f>$AB$16</f>
        <v>0</v>
      </c>
      <c r="AQ19" s="3">
        <f>$AB$14</f>
        <v>0</v>
      </c>
      <c r="AR19" s="3">
        <f>$AB$12</f>
        <v>0</v>
      </c>
      <c r="AS19" s="3">
        <f>$AB$10</f>
        <v>0</v>
      </c>
      <c r="AT19" s="3">
        <f>$AB$8</f>
        <v>0</v>
      </c>
      <c r="AU19" s="163" t="str">
        <f>'18 Spieler'!$G$14</f>
        <v> </v>
      </c>
      <c r="AV19" s="3" t="str">
        <f>'18 Spieler'!$O$13</f>
        <v> </v>
      </c>
      <c r="AW19" s="3" t="str">
        <f>'18 Spieler'!$W$12</f>
        <v> </v>
      </c>
      <c r="AX19" s="3" t="str">
        <f>'18 Spieler'!$AG$13</f>
        <v> </v>
      </c>
      <c r="AY19" s="3" t="str">
        <f>'18 Spieler'!$AO$14</f>
        <v> </v>
      </c>
      <c r="AZ19" s="3" t="str">
        <f>'18 Spieler'!$I$28</f>
        <v> </v>
      </c>
      <c r="BA19" s="3" t="str">
        <f>'18 Spieler'!$Q$29</f>
        <v> </v>
      </c>
      <c r="BB19" s="3" t="str">
        <f>'18 Spieler'!$Y$30</f>
        <v> </v>
      </c>
      <c r="BC19" s="3" t="str">
        <f>'18 Spieler'!$AG$31</f>
        <v> </v>
      </c>
      <c r="BD19" s="3" t="str">
        <f>'18 Spieler'!$AO$32</f>
        <v> </v>
      </c>
      <c r="BE19" s="3" t="str">
        <f>'18 Spieler'!$I$46</f>
        <v> </v>
      </c>
      <c r="BF19" s="3" t="str">
        <f>'18 Spieler'!$O$46</f>
        <v> </v>
      </c>
      <c r="BG19" s="3" t="str">
        <f>'18 Spieler'!$W$45</f>
        <v> </v>
      </c>
      <c r="BH19" s="3" t="str">
        <f>'18 Spieler'!$AE$44</f>
        <v> </v>
      </c>
      <c r="BI19" s="3" t="str">
        <f>'18 Spieler'!$AM$43</f>
        <v> </v>
      </c>
      <c r="BJ19" s="3" t="str">
        <f>'18 Spieler'!$G$55</f>
        <v> </v>
      </c>
      <c r="BK19" s="3" t="str">
        <f>'18 Spieler'!$O$54</f>
        <v> </v>
      </c>
      <c r="BL19" s="163" t="str">
        <f t="shared" si="0"/>
        <v> </v>
      </c>
      <c r="BM19" s="3" t="str">
        <f t="shared" si="1"/>
        <v> </v>
      </c>
      <c r="BN19" s="3" t="str">
        <f t="shared" si="1"/>
        <v> </v>
      </c>
      <c r="BO19" s="3" t="str">
        <f t="shared" si="1"/>
        <v> </v>
      </c>
      <c r="BP19" s="3" t="str">
        <f t="shared" si="1"/>
        <v> </v>
      </c>
      <c r="BQ19" s="3" t="str">
        <f t="shared" si="1"/>
        <v> </v>
      </c>
      <c r="BR19" s="3" t="str">
        <f t="shared" si="1"/>
        <v> </v>
      </c>
      <c r="BS19" s="3" t="str">
        <f t="shared" si="1"/>
        <v> </v>
      </c>
      <c r="BT19" s="3" t="str">
        <f t="shared" si="1"/>
        <v> </v>
      </c>
      <c r="BU19" s="3" t="str">
        <f t="shared" si="1"/>
        <v> </v>
      </c>
      <c r="BV19" s="3" t="str">
        <f t="shared" si="1"/>
        <v> </v>
      </c>
      <c r="BW19" s="3" t="str">
        <f t="shared" si="1"/>
        <v> </v>
      </c>
      <c r="BX19" s="3" t="str">
        <f t="shared" si="1"/>
        <v> </v>
      </c>
      <c r="BY19" s="3" t="str">
        <f t="shared" si="1"/>
        <v> </v>
      </c>
      <c r="BZ19" s="3" t="str">
        <f t="shared" si="1"/>
        <v> </v>
      </c>
      <c r="CA19" s="3" t="str">
        <f t="shared" si="1"/>
        <v> </v>
      </c>
      <c r="CB19" s="3" t="str">
        <f t="shared" si="20"/>
        <v> </v>
      </c>
      <c r="CC19" s="164">
        <f t="shared" si="2"/>
        <v>0</v>
      </c>
      <c r="CD19" s="165">
        <f t="shared" si="3"/>
        <v>0</v>
      </c>
      <c r="CE19" s="165">
        <f t="shared" si="3"/>
        <v>0</v>
      </c>
      <c r="CF19" s="165">
        <f t="shared" si="3"/>
        <v>0</v>
      </c>
      <c r="CG19" s="165">
        <f t="shared" si="3"/>
        <v>0</v>
      </c>
      <c r="CH19" s="165">
        <f t="shared" si="3"/>
        <v>0</v>
      </c>
      <c r="CI19" s="165">
        <f t="shared" si="3"/>
        <v>0</v>
      </c>
      <c r="CJ19" s="165">
        <f t="shared" si="3"/>
        <v>0</v>
      </c>
      <c r="CK19" s="165">
        <f t="shared" si="3"/>
        <v>0</v>
      </c>
      <c r="CL19" s="165">
        <f t="shared" si="3"/>
        <v>0</v>
      </c>
      <c r="CM19" s="165">
        <f t="shared" si="3"/>
        <v>0</v>
      </c>
      <c r="CN19" s="165">
        <f t="shared" si="3"/>
        <v>0</v>
      </c>
      <c r="CO19" s="165">
        <f t="shared" si="3"/>
        <v>0</v>
      </c>
      <c r="CP19" s="165">
        <f t="shared" si="3"/>
        <v>0</v>
      </c>
      <c r="CQ19" s="165">
        <f t="shared" si="3"/>
        <v>0</v>
      </c>
      <c r="CR19" s="165">
        <f t="shared" si="3"/>
        <v>0</v>
      </c>
      <c r="CS19" s="165">
        <f t="shared" si="21"/>
        <v>0</v>
      </c>
      <c r="CT19" s="166">
        <f t="shared" si="7"/>
        <v>0</v>
      </c>
      <c r="CU19" s="1">
        <f t="shared" si="8"/>
        <v>0</v>
      </c>
      <c r="CV19" s="157">
        <f t="shared" si="9"/>
        <v>15</v>
      </c>
      <c r="CW19" s="157">
        <f t="shared" si="10"/>
        <v>1</v>
      </c>
      <c r="CX19" s="157">
        <f t="shared" si="4"/>
        <v>0</v>
      </c>
      <c r="CY19" s="157">
        <f t="shared" si="11"/>
        <v>15</v>
      </c>
      <c r="CZ19" s="1">
        <f t="shared" si="12"/>
        <v>0</v>
      </c>
      <c r="DA19" s="5">
        <f t="shared" si="22"/>
        <v>0</v>
      </c>
    </row>
    <row r="20" spans="2:105" ht="19.5" customHeight="1">
      <c r="B20" s="45">
        <f>IF(AND(D19=D20,E19=E20,F19=F20),"","16.")</f>
      </c>
      <c r="C20" s="46" t="str">
        <f t="shared" si="14"/>
        <v>Spieler 16</v>
      </c>
      <c r="D20" s="47">
        <f t="shared" si="15"/>
        <v>0</v>
      </c>
      <c r="E20" s="55">
        <f t="shared" si="16"/>
      </c>
      <c r="F20" s="63" t="str">
        <f t="shared" si="17"/>
        <v> </v>
      </c>
      <c r="I20" s="45">
        <f t="shared" si="18"/>
        <v>16</v>
      </c>
      <c r="J20" s="46" t="str">
        <f>'Kreuztabelle 18'!C44</f>
        <v>Spieler 16</v>
      </c>
      <c r="K20" s="47">
        <f>IF(COUNT('Kreuztabelle 18'!D44:'Kreuztabelle 18'!U44)&gt;0,COUNT('Kreuztabelle 18'!D44:'Kreuztabelle 18'!U44),0)</f>
        <v>0</v>
      </c>
      <c r="L20" s="55">
        <f>'Kreuztabelle 18'!W44</f>
      </c>
      <c r="M20" s="63" t="str">
        <f>'Kreuztabelle 18'!V44</f>
        <v> </v>
      </c>
      <c r="N20">
        <f>IF(M20=" ",0.03,M20*100000+L20*1000-K20+0.03)</f>
        <v>0.03</v>
      </c>
      <c r="O20" s="65">
        <f t="shared" si="5"/>
        <v>18</v>
      </c>
      <c r="P20" s="65" t="e">
        <f>IF(AND(D19=D20,E19=E20,F19=F20),P19,16)</f>
        <v>#VALUE!</v>
      </c>
      <c r="Q20" s="66" t="e">
        <f t="shared" si="19"/>
        <v>#VALUE!</v>
      </c>
      <c r="R20" s="66" t="str">
        <f t="shared" si="6"/>
        <v> </v>
      </c>
      <c r="T20" s="1">
        <v>16</v>
      </c>
      <c r="AA20" t="str">
        <f>Eingabe!G12</f>
        <v>Spieler 17</v>
      </c>
      <c r="AB20" s="1">
        <f>IF(Eingabe!I12=" ",0,Eingabe!I12)</f>
        <v>0</v>
      </c>
      <c r="AC20" s="1">
        <f>IF(Eingabe!H12=5,5,IF(Eingabe!H12=10,10,15))</f>
        <v>15</v>
      </c>
      <c r="AD20" s="163">
        <f>$AB$5</f>
        <v>0</v>
      </c>
      <c r="AE20" s="3">
        <f>$AB$21</f>
        <v>0</v>
      </c>
      <c r="AF20" s="3">
        <f>$AB$18</f>
        <v>0</v>
      </c>
      <c r="AG20" s="3">
        <f>$AB$16</f>
        <v>0</v>
      </c>
      <c r="AH20" s="3">
        <f>$AB$14</f>
        <v>0</v>
      </c>
      <c r="AI20" s="3">
        <f>$AB$12</f>
        <v>0</v>
      </c>
      <c r="AJ20" s="3">
        <f>$AB$10</f>
        <v>0</v>
      </c>
      <c r="AK20" s="3">
        <f>$AB$8</f>
        <v>0</v>
      </c>
      <c r="AL20" s="3">
        <f>$AB$6</f>
        <v>0</v>
      </c>
      <c r="AM20" s="3">
        <f>$AB$4</f>
        <v>0</v>
      </c>
      <c r="AN20" s="3">
        <f>$AB$19</f>
        <v>0</v>
      </c>
      <c r="AO20" s="3">
        <f>$AB$17</f>
        <v>0</v>
      </c>
      <c r="AP20" s="3">
        <f>$AB$15</f>
        <v>0</v>
      </c>
      <c r="AQ20" s="3">
        <f>$AB$13</f>
        <v>0</v>
      </c>
      <c r="AR20" s="3">
        <f>$AB$11</f>
        <v>0</v>
      </c>
      <c r="AS20" s="3">
        <f>$AB$9</f>
        <v>0</v>
      </c>
      <c r="AT20" s="3">
        <f>$AB$7</f>
        <v>0</v>
      </c>
      <c r="AU20" s="163" t="str">
        <f>'18 Spieler'!$G$13</f>
        <v> </v>
      </c>
      <c r="AV20" s="3" t="str">
        <f>'18 Spieler'!$O$12</f>
        <v> </v>
      </c>
      <c r="AW20" s="3" t="str">
        <f>'18 Spieler'!$Y$13</f>
        <v> </v>
      </c>
      <c r="AX20" s="3" t="str">
        <f>'18 Spieler'!$AG$14</f>
        <v> </v>
      </c>
      <c r="AY20" s="3" t="str">
        <f>'18 Spieler'!$AO$15</f>
        <v> </v>
      </c>
      <c r="AZ20" s="3" t="str">
        <f>'18 Spieler'!$I$29</f>
        <v> </v>
      </c>
      <c r="BA20" s="3" t="str">
        <f>'18 Spieler'!$Q$30</f>
        <v> </v>
      </c>
      <c r="BB20" s="3" t="str">
        <f>'18 Spieler'!$Y$31</f>
        <v> </v>
      </c>
      <c r="BC20" s="3" t="str">
        <f>'18 Spieler'!$AG$32</f>
        <v> </v>
      </c>
      <c r="BD20" s="3" t="str">
        <f>'18 Spieler'!$AO$33</f>
        <v> </v>
      </c>
      <c r="BE20" s="3" t="str">
        <f>'18 Spieler'!$G$46</f>
        <v> </v>
      </c>
      <c r="BF20" s="3" t="str">
        <f>'18 Spieler'!$O$45</f>
        <v> </v>
      </c>
      <c r="BG20" s="3" t="str">
        <f>'18 Spieler'!$W$44</f>
        <v> </v>
      </c>
      <c r="BH20" s="3" t="str">
        <f>'18 Spieler'!$AE$43</f>
        <v> </v>
      </c>
      <c r="BI20" s="3" t="str">
        <f>'18 Spieler'!$AM$42</f>
        <v> </v>
      </c>
      <c r="BJ20" s="3" t="str">
        <f>'18 Spieler'!$G$54</f>
        <v> </v>
      </c>
      <c r="BK20" s="3" t="str">
        <f>'18 Spieler'!$O$53</f>
        <v> </v>
      </c>
      <c r="BL20" s="163" t="str">
        <f t="shared" si="0"/>
        <v> </v>
      </c>
      <c r="BM20" s="3" t="str">
        <f aca="true" t="shared" si="23" ref="BM20:CA21">IF(AE20=0," ",AV20)</f>
        <v> </v>
      </c>
      <c r="BN20" s="3" t="str">
        <f t="shared" si="23"/>
        <v> </v>
      </c>
      <c r="BO20" s="3" t="str">
        <f t="shared" si="23"/>
        <v> </v>
      </c>
      <c r="BP20" s="3" t="str">
        <f t="shared" si="23"/>
        <v> </v>
      </c>
      <c r="BQ20" s="3" t="str">
        <f t="shared" si="23"/>
        <v> </v>
      </c>
      <c r="BR20" s="3" t="str">
        <f t="shared" si="23"/>
        <v> </v>
      </c>
      <c r="BS20" s="3" t="str">
        <f t="shared" si="23"/>
        <v> </v>
      </c>
      <c r="BT20" s="3" t="str">
        <f t="shared" si="23"/>
        <v> </v>
      </c>
      <c r="BU20" s="3" t="str">
        <f t="shared" si="23"/>
        <v> </v>
      </c>
      <c r="BV20" s="3" t="str">
        <f t="shared" si="23"/>
        <v> </v>
      </c>
      <c r="BW20" s="3" t="str">
        <f t="shared" si="23"/>
        <v> </v>
      </c>
      <c r="BX20" s="3" t="str">
        <f t="shared" si="23"/>
        <v> </v>
      </c>
      <c r="BY20" s="3" t="str">
        <f t="shared" si="23"/>
        <v> </v>
      </c>
      <c r="BZ20" s="3" t="str">
        <f t="shared" si="23"/>
        <v> </v>
      </c>
      <c r="CA20" s="3" t="str">
        <f t="shared" si="23"/>
        <v> </v>
      </c>
      <c r="CB20" s="3" t="str">
        <f t="shared" si="20"/>
        <v> </v>
      </c>
      <c r="CC20" s="164">
        <f t="shared" si="2"/>
        <v>0</v>
      </c>
      <c r="CD20" s="165">
        <f aca="true" t="shared" si="24" ref="CD20:CR21">IF(BM20=" ",0,ROUND(1/(1+(POWER(10,(-1*($AB20-AE20)/400)))),3))</f>
        <v>0</v>
      </c>
      <c r="CE20" s="165">
        <f t="shared" si="24"/>
        <v>0</v>
      </c>
      <c r="CF20" s="165">
        <f t="shared" si="24"/>
        <v>0</v>
      </c>
      <c r="CG20" s="165">
        <f t="shared" si="24"/>
        <v>0</v>
      </c>
      <c r="CH20" s="165">
        <f t="shared" si="24"/>
        <v>0</v>
      </c>
      <c r="CI20" s="165">
        <f t="shared" si="24"/>
        <v>0</v>
      </c>
      <c r="CJ20" s="165">
        <f t="shared" si="24"/>
        <v>0</v>
      </c>
      <c r="CK20" s="165">
        <f t="shared" si="24"/>
        <v>0</v>
      </c>
      <c r="CL20" s="165">
        <f t="shared" si="24"/>
        <v>0</v>
      </c>
      <c r="CM20" s="165">
        <f t="shared" si="24"/>
        <v>0</v>
      </c>
      <c r="CN20" s="165">
        <f t="shared" si="24"/>
        <v>0</v>
      </c>
      <c r="CO20" s="165">
        <f t="shared" si="24"/>
        <v>0</v>
      </c>
      <c r="CP20" s="165">
        <f t="shared" si="24"/>
        <v>0</v>
      </c>
      <c r="CQ20" s="165">
        <f t="shared" si="24"/>
        <v>0</v>
      </c>
      <c r="CR20" s="165">
        <f t="shared" si="24"/>
        <v>0</v>
      </c>
      <c r="CS20" s="165">
        <f t="shared" si="21"/>
        <v>0</v>
      </c>
      <c r="CT20" s="166">
        <f t="shared" si="7"/>
        <v>0</v>
      </c>
      <c r="CU20" s="1">
        <f t="shared" si="8"/>
        <v>0</v>
      </c>
      <c r="CV20" s="157">
        <f t="shared" si="9"/>
        <v>15</v>
      </c>
      <c r="CW20" s="157">
        <f t="shared" si="10"/>
        <v>1</v>
      </c>
      <c r="CX20" s="157">
        <f t="shared" si="4"/>
        <v>0</v>
      </c>
      <c r="CY20" s="157">
        <f t="shared" si="11"/>
        <v>15</v>
      </c>
      <c r="CZ20" s="1">
        <f t="shared" si="12"/>
        <v>0</v>
      </c>
      <c r="DA20" s="5">
        <f t="shared" si="22"/>
        <v>0</v>
      </c>
    </row>
    <row r="21" spans="2:105" ht="19.5" customHeight="1">
      <c r="B21" s="45">
        <f>IF(AND(D20=D21,E20=E21,F20=F21),"","17.")</f>
      </c>
      <c r="C21" s="46" t="str">
        <f t="shared" si="14"/>
        <v>Spieler 17</v>
      </c>
      <c r="D21" s="47">
        <f t="shared" si="15"/>
        <v>0</v>
      </c>
      <c r="E21" s="55">
        <f t="shared" si="16"/>
      </c>
      <c r="F21" s="63" t="str">
        <f t="shared" si="17"/>
        <v> </v>
      </c>
      <c r="I21" s="45">
        <f t="shared" si="18"/>
        <v>17</v>
      </c>
      <c r="J21" s="46" t="str">
        <f>'Kreuztabelle 18'!C45</f>
        <v>Spieler 17</v>
      </c>
      <c r="K21" s="47">
        <f>IF(COUNT('Kreuztabelle 18'!D45:'Kreuztabelle 18'!U45)&gt;0,COUNT('Kreuztabelle 18'!D45:'Kreuztabelle 18'!U45),0)</f>
        <v>0</v>
      </c>
      <c r="L21" s="55">
        <f>'Kreuztabelle 18'!W45</f>
      </c>
      <c r="M21" s="63" t="str">
        <f>'Kreuztabelle 18'!V45</f>
        <v> </v>
      </c>
      <c r="N21">
        <f>IF(M21=" ",0.02,M21*100000+L21*1000-K21+0.02)</f>
        <v>0.02</v>
      </c>
      <c r="O21" s="65">
        <f t="shared" si="5"/>
        <v>18</v>
      </c>
      <c r="P21" s="65" t="e">
        <f>IF(AND(D20=D21,E20=E21,F20=F21),P20,17)</f>
        <v>#VALUE!</v>
      </c>
      <c r="Q21" s="66" t="e">
        <f t="shared" si="19"/>
        <v>#VALUE!</v>
      </c>
      <c r="R21" s="66" t="str">
        <f t="shared" si="6"/>
        <v> </v>
      </c>
      <c r="T21" s="1">
        <v>17</v>
      </c>
      <c r="AA21" t="str">
        <f>Eingabe!G13</f>
        <v>Spieler 18 / spielfrei</v>
      </c>
      <c r="AB21" s="1">
        <f>IF(Eingabe!I13=" ",0,Eingabe!I13)</f>
        <v>0</v>
      </c>
      <c r="AC21" s="1">
        <f>IF(Eingabe!H13=5,5,IF(Eingabe!H13=10,10,15))</f>
        <v>15</v>
      </c>
      <c r="AD21" s="163">
        <f>$AB$4</f>
        <v>0</v>
      </c>
      <c r="AE21" s="3">
        <f>$AB$20</f>
        <v>0</v>
      </c>
      <c r="AF21" s="3">
        <f>$AB$19</f>
        <v>0</v>
      </c>
      <c r="AG21" s="3">
        <f>$AB$18</f>
        <v>0</v>
      </c>
      <c r="AH21" s="3">
        <f>$AB$17</f>
        <v>0</v>
      </c>
      <c r="AI21" s="3">
        <f>$AB$16</f>
        <v>0</v>
      </c>
      <c r="AJ21" s="3">
        <f>$AB$15</f>
        <v>0</v>
      </c>
      <c r="AK21" s="3">
        <f>$AB$14</f>
        <v>0</v>
      </c>
      <c r="AL21" s="3">
        <f>$AB$13</f>
        <v>0</v>
      </c>
      <c r="AM21" s="3">
        <f>$AB$12</f>
        <v>0</v>
      </c>
      <c r="AN21" s="3">
        <f>$AB$11</f>
        <v>0</v>
      </c>
      <c r="AO21" s="3">
        <f>$AB$10</f>
        <v>0</v>
      </c>
      <c r="AP21" s="3">
        <f>$AB$9</f>
        <v>0</v>
      </c>
      <c r="AQ21" s="3">
        <f>$AB$8</f>
        <v>0</v>
      </c>
      <c r="AR21" s="3">
        <f>$AB$7</f>
        <v>0</v>
      </c>
      <c r="AS21" s="3">
        <f>$AB$6</f>
        <v>0</v>
      </c>
      <c r="AT21" s="3">
        <f>$AB$5</f>
        <v>0</v>
      </c>
      <c r="AU21" s="163" t="str">
        <f>'18 Spieler'!$I$12</f>
        <v> </v>
      </c>
      <c r="AV21" s="3" t="str">
        <f>'18 Spieler'!$Q$12</f>
        <v> </v>
      </c>
      <c r="AW21" s="3" t="str">
        <f>'18 Spieler'!$Y$12</f>
        <v> </v>
      </c>
      <c r="AX21" s="3" t="str">
        <f>'18 Spieler'!$AG$12</f>
        <v> </v>
      </c>
      <c r="AY21" s="3" t="str">
        <f>'18 Spieler'!$AO$12</f>
        <v> </v>
      </c>
      <c r="AZ21" s="3" t="str">
        <f>'18 Spieler'!$I$25</f>
        <v> </v>
      </c>
      <c r="BA21" s="3" t="str">
        <f>'18 Spieler'!$Q$25</f>
        <v> </v>
      </c>
      <c r="BB21" s="3" t="str">
        <f>'18 Spieler'!$Y$25</f>
        <v> </v>
      </c>
      <c r="BC21" s="3" t="str">
        <f>'18 Spieler'!$AG$25</f>
        <v> </v>
      </c>
      <c r="BD21" s="3" t="str">
        <f>'18 Spieler'!$AO$25</f>
        <v> </v>
      </c>
      <c r="BE21" s="3" t="str">
        <f>'18 Spieler'!$I$38</f>
        <v> </v>
      </c>
      <c r="BF21" s="3" t="str">
        <f>'18 Spieler'!$Q$38</f>
        <v> </v>
      </c>
      <c r="BG21" s="3" t="str">
        <f>'18 Spieler'!$Y$38</f>
        <v> </v>
      </c>
      <c r="BH21" s="3" t="str">
        <f>'18 Spieler'!$AG$38</f>
        <v> </v>
      </c>
      <c r="BI21" s="3" t="str">
        <f>'18 Spieler'!$AO$38</f>
        <v> </v>
      </c>
      <c r="BJ21" s="3" t="str">
        <f>'18 Spieler'!$I$51</f>
        <v> </v>
      </c>
      <c r="BK21" s="3" t="str">
        <f>'18 Spieler'!$Q$51</f>
        <v> </v>
      </c>
      <c r="BL21" s="163" t="str">
        <f t="shared" si="0"/>
        <v> </v>
      </c>
      <c r="BM21" s="3" t="str">
        <f t="shared" si="23"/>
        <v> </v>
      </c>
      <c r="BN21" s="3" t="str">
        <f t="shared" si="23"/>
        <v> </v>
      </c>
      <c r="BO21" s="3" t="str">
        <f t="shared" si="23"/>
        <v> </v>
      </c>
      <c r="BP21" s="3" t="str">
        <f t="shared" si="23"/>
        <v> </v>
      </c>
      <c r="BQ21" s="3" t="str">
        <f t="shared" si="23"/>
        <v> </v>
      </c>
      <c r="BR21" s="3" t="str">
        <f t="shared" si="23"/>
        <v> </v>
      </c>
      <c r="BS21" s="3" t="str">
        <f t="shared" si="23"/>
        <v> </v>
      </c>
      <c r="BT21" s="3" t="str">
        <f t="shared" si="23"/>
        <v> </v>
      </c>
      <c r="BU21" s="3" t="str">
        <f t="shared" si="23"/>
        <v> </v>
      </c>
      <c r="BV21" s="3" t="str">
        <f t="shared" si="23"/>
        <v> </v>
      </c>
      <c r="BW21" s="3" t="str">
        <f t="shared" si="23"/>
        <v> </v>
      </c>
      <c r="BX21" s="3" t="str">
        <f t="shared" si="23"/>
        <v> </v>
      </c>
      <c r="BY21" s="3" t="str">
        <f t="shared" si="23"/>
        <v> </v>
      </c>
      <c r="BZ21" s="3" t="str">
        <f t="shared" si="23"/>
        <v> </v>
      </c>
      <c r="CA21" s="3" t="str">
        <f t="shared" si="23"/>
        <v> </v>
      </c>
      <c r="CB21" s="3" t="str">
        <f t="shared" si="20"/>
        <v> </v>
      </c>
      <c r="CC21" s="164">
        <f t="shared" si="2"/>
        <v>0</v>
      </c>
      <c r="CD21" s="165">
        <f t="shared" si="24"/>
        <v>0</v>
      </c>
      <c r="CE21" s="165">
        <f t="shared" si="24"/>
        <v>0</v>
      </c>
      <c r="CF21" s="165">
        <f t="shared" si="24"/>
        <v>0</v>
      </c>
      <c r="CG21" s="165">
        <f t="shared" si="24"/>
        <v>0</v>
      </c>
      <c r="CH21" s="165">
        <f t="shared" si="24"/>
        <v>0</v>
      </c>
      <c r="CI21" s="165">
        <f t="shared" si="24"/>
        <v>0</v>
      </c>
      <c r="CJ21" s="165">
        <f t="shared" si="24"/>
        <v>0</v>
      </c>
      <c r="CK21" s="165">
        <f t="shared" si="24"/>
        <v>0</v>
      </c>
      <c r="CL21" s="165">
        <f t="shared" si="24"/>
        <v>0</v>
      </c>
      <c r="CM21" s="165">
        <f t="shared" si="24"/>
        <v>0</v>
      </c>
      <c r="CN21" s="165">
        <f t="shared" si="24"/>
        <v>0</v>
      </c>
      <c r="CO21" s="165">
        <f t="shared" si="24"/>
        <v>0</v>
      </c>
      <c r="CP21" s="165">
        <f t="shared" si="24"/>
        <v>0</v>
      </c>
      <c r="CQ21" s="165">
        <f t="shared" si="24"/>
        <v>0</v>
      </c>
      <c r="CR21" s="165">
        <f t="shared" si="24"/>
        <v>0</v>
      </c>
      <c r="CS21" s="165">
        <f t="shared" si="21"/>
        <v>0</v>
      </c>
      <c r="CT21" s="166">
        <f>SUM(CC21:CS21)</f>
        <v>0</v>
      </c>
      <c r="CU21" s="1">
        <f>1*((COUNTIF(BL21:CB21,0))+(COUNTIF(BL21:CB21,0.5))+(COUNTIF(BL21:CB21,1)))</f>
        <v>0</v>
      </c>
      <c r="CV21" s="157">
        <f t="shared" si="9"/>
        <v>15</v>
      </c>
      <c r="CW21" s="157">
        <f t="shared" si="10"/>
        <v>1</v>
      </c>
      <c r="CX21" s="157">
        <f t="shared" si="4"/>
        <v>0</v>
      </c>
      <c r="CY21" s="157">
        <f t="shared" si="11"/>
        <v>15</v>
      </c>
      <c r="CZ21" s="1">
        <f>SUM(BL21:CB21)</f>
        <v>0</v>
      </c>
      <c r="DA21" s="5">
        <f>IF(Eingabe!G13="spielfrei",-999,IF(AB21=0,0,IF(CU21=0,AB21,ROUND(AB21+800*(CZ21-CT21)/(CY21+CU21),0))))</f>
        <v>0</v>
      </c>
    </row>
    <row r="22" spans="2:105" ht="19.5" customHeight="1" thickBot="1">
      <c r="B22" s="49">
        <f>IF(Eingabe!G13="spielfrei","",IF(AND(D21=D22,E21=E22,F21=F22),"","18."))</f>
      </c>
      <c r="C22" s="50" t="str">
        <f t="shared" si="14"/>
        <v>Spieler 18 / spielfrei</v>
      </c>
      <c r="D22" s="51">
        <f t="shared" si="15"/>
        <v>0</v>
      </c>
      <c r="E22" s="56">
        <f t="shared" si="16"/>
      </c>
      <c r="F22" s="64" t="str">
        <f t="shared" si="17"/>
        <v> </v>
      </c>
      <c r="I22" s="49">
        <f t="shared" si="18"/>
        <v>18</v>
      </c>
      <c r="J22" s="50" t="str">
        <f>'Kreuztabelle 18'!C46</f>
        <v>Spieler 18 / spielfrei</v>
      </c>
      <c r="K22" s="51">
        <f>IF(COUNT('Kreuztabelle 18'!D46:'Kreuztabelle 18'!U46)&gt;0,COUNT('Kreuztabelle 18'!D46:'Kreuztabelle 18'!U46),0)</f>
        <v>0</v>
      </c>
      <c r="L22" s="56">
        <f>IF(Eingabe!G13="spielfrei",-0.001,'Kreuztabelle 18'!W46)</f>
      </c>
      <c r="M22" s="64" t="str">
        <f>'Kreuztabelle 18'!V46</f>
        <v> </v>
      </c>
      <c r="N22">
        <f>IF(M22=" ",0.01,M22*100000+L22*1000-K22+0.01)</f>
        <v>0.01</v>
      </c>
      <c r="O22" s="65">
        <f t="shared" si="5"/>
        <v>18</v>
      </c>
      <c r="P22" s="65" t="e">
        <f>IF(AND(D21=D22,E21=E22,F21=F22),P21,18)</f>
        <v>#VALUE!</v>
      </c>
      <c r="Q22" s="66" t="e">
        <f>IF(O22=1,P22&amp;".",P22&amp;".- "&amp;(P22+O22-1)&amp;".")</f>
        <v>#VALUE!</v>
      </c>
      <c r="R22" s="66" t="str">
        <f t="shared" si="6"/>
        <v> </v>
      </c>
      <c r="T22" s="1">
        <v>18</v>
      </c>
      <c r="AA22" s="167"/>
      <c r="AB22" s="168"/>
      <c r="AC22" s="168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</row>
    <row r="23" spans="2:10" ht="19.5" customHeight="1">
      <c r="B23" s="2"/>
      <c r="C23" s="2"/>
      <c r="I23" s="2"/>
      <c r="J23" s="2"/>
    </row>
    <row r="24" ht="19.5" customHeight="1"/>
    <row r="25" ht="19.5" customHeight="1" thickBot="1"/>
    <row r="26" spans="2:13" ht="19.5" customHeight="1">
      <c r="B26" s="39"/>
      <c r="C26" s="84" t="s">
        <v>81</v>
      </c>
      <c r="D26" s="41"/>
      <c r="E26" s="41"/>
      <c r="F26" s="42"/>
      <c r="I26" s="39"/>
      <c r="J26" s="40"/>
      <c r="K26" s="41"/>
      <c r="L26" s="41"/>
      <c r="M26" s="42"/>
    </row>
    <row r="27" spans="2:13" ht="19.5" customHeight="1">
      <c r="B27" s="43"/>
      <c r="C27" s="85" t="str">
        <f>J27</f>
        <v>Stand nach der 0. Runde</v>
      </c>
      <c r="D27" s="44"/>
      <c r="E27" s="60" t="s">
        <v>82</v>
      </c>
      <c r="F27" s="54" t="s">
        <v>83</v>
      </c>
      <c r="I27" s="43"/>
      <c r="J27" s="37" t="str">
        <f>IF(EXACT("spielfrei",Eingabe!G13)=TRUE,Q4,R4)</f>
        <v>Stand nach der 0. Runde</v>
      </c>
      <c r="K27" s="44"/>
      <c r="L27" s="60" t="s">
        <v>82</v>
      </c>
      <c r="M27" s="54" t="s">
        <v>83</v>
      </c>
    </row>
    <row r="28" spans="2:20" ht="19.5" customHeight="1">
      <c r="B28" s="45" t="str">
        <f>IF(SUM(E28:E45)=0," ","1.")</f>
        <v> </v>
      </c>
      <c r="C28" s="46" t="str">
        <f>VLOOKUP($T28,$I$28:$M$45,2,FALSE)</f>
        <v>Spieler 1</v>
      </c>
      <c r="D28" s="47">
        <f>VLOOKUP($T28,$I$28:$M$45,3,FALSE)</f>
        <v>0</v>
      </c>
      <c r="E28" s="169">
        <f>VLOOKUP($T28,$I$28:$M$45,4,FALSE)</f>
        <v>0</v>
      </c>
      <c r="F28" s="170">
        <f>VLOOKUP($T28,$I$28:$M$45,5,FALSE)</f>
        <v>0</v>
      </c>
      <c r="I28" s="45">
        <f>RANK(N28,$N$28:$N$45,0)</f>
        <v>1</v>
      </c>
      <c r="J28" s="46" t="str">
        <f>'Kreuztabelle 18'!C29</f>
        <v>Spieler 1</v>
      </c>
      <c r="K28" s="47">
        <f>IF(COUNT('Kreuztabelle 18'!D29:'Kreuztabelle 18'!U29)&gt;0,COUNT('Kreuztabelle 18'!D29:'Kreuztabelle 18'!U29),0)</f>
        <v>0</v>
      </c>
      <c r="L28" s="169">
        <f>DA4</f>
        <v>0</v>
      </c>
      <c r="M28" s="170">
        <f>DA4-AB4</f>
        <v>0</v>
      </c>
      <c r="N28">
        <f>IF(M28=" ",0.1,M28*10000+L28+0.2)</f>
        <v>0.2</v>
      </c>
      <c r="O28" s="171"/>
      <c r="P28" s="171"/>
      <c r="T28" s="1">
        <v>1</v>
      </c>
    </row>
    <row r="29" spans="2:20" ht="19.5" customHeight="1">
      <c r="B29" s="45">
        <f>IF(AND(D28=D29,E28=E29,F28=F29),"","2.")</f>
      </c>
      <c r="C29" s="46" t="str">
        <f aca="true" t="shared" si="25" ref="C29:C44">VLOOKUP($T29,$I$28:$M$45,2,FALSE)</f>
        <v>Spieler 2</v>
      </c>
      <c r="D29" s="47">
        <f aca="true" t="shared" si="26" ref="D29:D44">VLOOKUP($T29,$I$28:$M$45,3,FALSE)</f>
        <v>0</v>
      </c>
      <c r="E29" s="169">
        <f aca="true" t="shared" si="27" ref="E29:E44">VLOOKUP($T29,$I$28:$M$45,4,FALSE)</f>
        <v>0</v>
      </c>
      <c r="F29" s="170">
        <f aca="true" t="shared" si="28" ref="F29:F44">VLOOKUP($T29,$I$28:$M$45,5,FALSE)</f>
        <v>0</v>
      </c>
      <c r="I29" s="45">
        <f aca="true" t="shared" si="29" ref="I29:I41">RANK(N29,$N$28:$N$45,0)</f>
        <v>2</v>
      </c>
      <c r="J29" s="46" t="str">
        <f>'Kreuztabelle 18'!C30</f>
        <v>Spieler 2</v>
      </c>
      <c r="K29" s="47">
        <f>IF(COUNT('Kreuztabelle 18'!D30:'Kreuztabelle 18'!U30)&gt;0,COUNT('Kreuztabelle 18'!D30:'Kreuztabelle 18'!U30),0)</f>
        <v>0</v>
      </c>
      <c r="L29" s="169">
        <f aca="true" t="shared" si="30" ref="L29:L45">DA5</f>
        <v>0</v>
      </c>
      <c r="M29" s="170">
        <f aca="true" t="shared" si="31" ref="M29:M41">DA5-AB5</f>
        <v>0</v>
      </c>
      <c r="N29">
        <f>IF(M29=" ",0.1,M29*10000+L29+0.19)</f>
        <v>0.19</v>
      </c>
      <c r="O29" s="171"/>
      <c r="P29" s="171"/>
      <c r="T29" s="1">
        <v>2</v>
      </c>
    </row>
    <row r="30" spans="2:20" ht="19.5" customHeight="1">
      <c r="B30" s="45">
        <f>IF(AND(D29=D30,E29=E30,F29=F30),"","3.")</f>
      </c>
      <c r="C30" s="46" t="str">
        <f t="shared" si="25"/>
        <v>Spieler 3</v>
      </c>
      <c r="D30" s="47">
        <f t="shared" si="26"/>
        <v>0</v>
      </c>
      <c r="E30" s="169">
        <f t="shared" si="27"/>
        <v>0</v>
      </c>
      <c r="F30" s="170">
        <f t="shared" si="28"/>
        <v>0</v>
      </c>
      <c r="I30" s="45">
        <f t="shared" si="29"/>
        <v>3</v>
      </c>
      <c r="J30" s="46" t="str">
        <f>'Kreuztabelle 18'!C31</f>
        <v>Spieler 3</v>
      </c>
      <c r="K30" s="47">
        <f>IF(COUNT('Kreuztabelle 18'!D31:'Kreuztabelle 18'!U31)&gt;0,COUNT('Kreuztabelle 18'!D31:'Kreuztabelle 18'!U31),0)</f>
        <v>0</v>
      </c>
      <c r="L30" s="169">
        <f t="shared" si="30"/>
        <v>0</v>
      </c>
      <c r="M30" s="170">
        <f t="shared" si="31"/>
        <v>0</v>
      </c>
      <c r="N30">
        <f>IF(M30=" ",0.1,M30*10000+L30+0.18)</f>
        <v>0.18</v>
      </c>
      <c r="O30" s="171"/>
      <c r="P30" s="171"/>
      <c r="T30" s="1">
        <v>3</v>
      </c>
    </row>
    <row r="31" spans="2:20" ht="19.5" customHeight="1">
      <c r="B31" s="45">
        <f>IF(AND(D30=D31,E30=E31,F30=F31),"","4.")</f>
      </c>
      <c r="C31" s="46" t="str">
        <f t="shared" si="25"/>
        <v>Spieler 4</v>
      </c>
      <c r="D31" s="47">
        <f t="shared" si="26"/>
        <v>0</v>
      </c>
      <c r="E31" s="169">
        <f t="shared" si="27"/>
        <v>0</v>
      </c>
      <c r="F31" s="170">
        <f t="shared" si="28"/>
        <v>0</v>
      </c>
      <c r="I31" s="45">
        <f t="shared" si="29"/>
        <v>4</v>
      </c>
      <c r="J31" s="46" t="str">
        <f>'Kreuztabelle 18'!C32</f>
        <v>Spieler 4</v>
      </c>
      <c r="K31" s="47">
        <f>IF(COUNT('Kreuztabelle 18'!D32:'Kreuztabelle 18'!U32)&gt;0,COUNT('Kreuztabelle 18'!D32:'Kreuztabelle 18'!U32),0)</f>
        <v>0</v>
      </c>
      <c r="L31" s="169">
        <f t="shared" si="30"/>
        <v>0</v>
      </c>
      <c r="M31" s="170">
        <f t="shared" si="31"/>
        <v>0</v>
      </c>
      <c r="N31">
        <f>IF(M31=" ",0.1,M31*10000+L31+0.17)</f>
        <v>0.17</v>
      </c>
      <c r="O31" s="171"/>
      <c r="P31" s="171"/>
      <c r="T31" s="1">
        <v>4</v>
      </c>
    </row>
    <row r="32" spans="2:20" ht="19.5" customHeight="1">
      <c r="B32" s="45">
        <f>IF(AND(D31=D32,E31=E32,F31=F32),"","5.")</f>
      </c>
      <c r="C32" s="46" t="str">
        <f t="shared" si="25"/>
        <v>Spieler 5</v>
      </c>
      <c r="D32" s="47">
        <f t="shared" si="26"/>
        <v>0</v>
      </c>
      <c r="E32" s="169">
        <f t="shared" si="27"/>
        <v>0</v>
      </c>
      <c r="F32" s="170">
        <f t="shared" si="28"/>
        <v>0</v>
      </c>
      <c r="I32" s="45">
        <f t="shared" si="29"/>
        <v>5</v>
      </c>
      <c r="J32" s="46" t="str">
        <f>'Kreuztabelle 18'!C33</f>
        <v>Spieler 5</v>
      </c>
      <c r="K32" s="47">
        <f>IF(COUNT('Kreuztabelle 18'!D33:'Kreuztabelle 18'!U33)&gt;0,COUNT('Kreuztabelle 18'!D33:'Kreuztabelle 18'!U33),0)</f>
        <v>0</v>
      </c>
      <c r="L32" s="169">
        <f t="shared" si="30"/>
        <v>0</v>
      </c>
      <c r="M32" s="170">
        <f t="shared" si="31"/>
        <v>0</v>
      </c>
      <c r="N32">
        <f>IF(M32=" ",0.1,M32*10000+L32+0.16)</f>
        <v>0.16</v>
      </c>
      <c r="O32" s="171"/>
      <c r="P32" s="171"/>
      <c r="T32" s="1">
        <v>5</v>
      </c>
    </row>
    <row r="33" spans="2:20" ht="19.5" customHeight="1">
      <c r="B33" s="45">
        <f>IF(AND(D32=D33,E32=E33,F32=F33),"","6.")</f>
      </c>
      <c r="C33" s="46" t="str">
        <f t="shared" si="25"/>
        <v>Spieler 6</v>
      </c>
      <c r="D33" s="47">
        <f t="shared" si="26"/>
        <v>0</v>
      </c>
      <c r="E33" s="169">
        <f t="shared" si="27"/>
        <v>0</v>
      </c>
      <c r="F33" s="170">
        <f t="shared" si="28"/>
        <v>0</v>
      </c>
      <c r="I33" s="45">
        <f t="shared" si="29"/>
        <v>6</v>
      </c>
      <c r="J33" s="46" t="str">
        <f>'Kreuztabelle 18'!C34</f>
        <v>Spieler 6</v>
      </c>
      <c r="K33" s="47">
        <f>IF(COUNT('Kreuztabelle 18'!D34:'Kreuztabelle 18'!U34)&gt;0,COUNT('Kreuztabelle 18'!D34:'Kreuztabelle 18'!U34),0)</f>
        <v>0</v>
      </c>
      <c r="L33" s="169">
        <f t="shared" si="30"/>
        <v>0</v>
      </c>
      <c r="M33" s="170">
        <f t="shared" si="31"/>
        <v>0</v>
      </c>
      <c r="N33">
        <f>IF(M33=" ",0.1,M33*10000+L33+0.15)</f>
        <v>0.15</v>
      </c>
      <c r="O33" s="171"/>
      <c r="P33" s="171"/>
      <c r="T33" s="1">
        <v>6</v>
      </c>
    </row>
    <row r="34" spans="2:20" ht="19.5" customHeight="1">
      <c r="B34" s="45">
        <f>IF(AND(D33=D34,E33=E34,F33=F34),"","7.")</f>
      </c>
      <c r="C34" s="46" t="str">
        <f t="shared" si="25"/>
        <v>Spieler 7</v>
      </c>
      <c r="D34" s="47">
        <f t="shared" si="26"/>
        <v>0</v>
      </c>
      <c r="E34" s="169">
        <f t="shared" si="27"/>
        <v>0</v>
      </c>
      <c r="F34" s="170">
        <f t="shared" si="28"/>
        <v>0</v>
      </c>
      <c r="I34" s="45">
        <f t="shared" si="29"/>
        <v>7</v>
      </c>
      <c r="J34" s="46" t="str">
        <f>'Kreuztabelle 18'!C35</f>
        <v>Spieler 7</v>
      </c>
      <c r="K34" s="47">
        <f>IF(COUNT('Kreuztabelle 18'!D35:'Kreuztabelle 18'!U35)&gt;0,COUNT('Kreuztabelle 18'!D35:'Kreuztabelle 18'!U35),0)</f>
        <v>0</v>
      </c>
      <c r="L34" s="169">
        <f t="shared" si="30"/>
        <v>0</v>
      </c>
      <c r="M34" s="170">
        <f t="shared" si="31"/>
        <v>0</v>
      </c>
      <c r="N34">
        <f>IF(M34=" ",0.1,M34*10000+L34+0.14)</f>
        <v>0.14</v>
      </c>
      <c r="O34" s="171"/>
      <c r="P34" s="171"/>
      <c r="T34" s="1">
        <v>7</v>
      </c>
    </row>
    <row r="35" spans="2:20" ht="19.5" customHeight="1">
      <c r="B35" s="45">
        <f>IF(AND(D34=D35,E34=E35,F34=F35),"","8.")</f>
      </c>
      <c r="C35" s="46" t="str">
        <f t="shared" si="25"/>
        <v>Spieler 8</v>
      </c>
      <c r="D35" s="47">
        <f t="shared" si="26"/>
        <v>0</v>
      </c>
      <c r="E35" s="169">
        <f t="shared" si="27"/>
        <v>0</v>
      </c>
      <c r="F35" s="170">
        <f t="shared" si="28"/>
        <v>0</v>
      </c>
      <c r="I35" s="45">
        <f t="shared" si="29"/>
        <v>8</v>
      </c>
      <c r="J35" s="46" t="str">
        <f>'Kreuztabelle 18'!C36</f>
        <v>Spieler 8</v>
      </c>
      <c r="K35" s="47">
        <f>IF(COUNT('Kreuztabelle 18'!D36:'Kreuztabelle 18'!U36)&gt;0,COUNT('Kreuztabelle 18'!D36:'Kreuztabelle 18'!U36),0)</f>
        <v>0</v>
      </c>
      <c r="L35" s="169">
        <f t="shared" si="30"/>
        <v>0</v>
      </c>
      <c r="M35" s="170">
        <f t="shared" si="31"/>
        <v>0</v>
      </c>
      <c r="N35">
        <f>IF(M35=" ",0.1,M35*10000+L35+0.13)</f>
        <v>0.13</v>
      </c>
      <c r="O35" s="171"/>
      <c r="P35" s="171"/>
      <c r="T35" s="1">
        <v>8</v>
      </c>
    </row>
    <row r="36" spans="2:20" ht="19.5" customHeight="1">
      <c r="B36" s="45">
        <f>IF(AND(D35=D36,E35=E36,F35=F36),"","9.")</f>
      </c>
      <c r="C36" s="46" t="str">
        <f t="shared" si="25"/>
        <v>Spieler 9</v>
      </c>
      <c r="D36" s="47">
        <f t="shared" si="26"/>
        <v>0</v>
      </c>
      <c r="E36" s="169">
        <f t="shared" si="27"/>
        <v>0</v>
      </c>
      <c r="F36" s="170">
        <f t="shared" si="28"/>
        <v>0</v>
      </c>
      <c r="I36" s="45">
        <f t="shared" si="29"/>
        <v>9</v>
      </c>
      <c r="J36" s="46" t="str">
        <f>'Kreuztabelle 18'!C37</f>
        <v>Spieler 9</v>
      </c>
      <c r="K36" s="47">
        <f>IF(COUNT('Kreuztabelle 18'!D37:'Kreuztabelle 18'!U37)&gt;0,COUNT('Kreuztabelle 18'!D37:'Kreuztabelle 18'!U37),0)</f>
        <v>0</v>
      </c>
      <c r="L36" s="169">
        <f t="shared" si="30"/>
        <v>0</v>
      </c>
      <c r="M36" s="170">
        <f t="shared" si="31"/>
        <v>0</v>
      </c>
      <c r="N36">
        <f>IF(M36=" ",0.1,M36*10000+L36+0.12)</f>
        <v>0.12</v>
      </c>
      <c r="O36" s="171"/>
      <c r="P36" s="171"/>
      <c r="T36" s="1">
        <v>9</v>
      </c>
    </row>
    <row r="37" spans="2:20" ht="19.5" customHeight="1">
      <c r="B37" s="45">
        <f>IF(AND(D36=D37,E36=E37,F36=F37),"","10.")</f>
      </c>
      <c r="C37" s="46" t="str">
        <f t="shared" si="25"/>
        <v>Spieler 10</v>
      </c>
      <c r="D37" s="47">
        <f t="shared" si="26"/>
        <v>0</v>
      </c>
      <c r="E37" s="169">
        <f t="shared" si="27"/>
        <v>0</v>
      </c>
      <c r="F37" s="170">
        <f t="shared" si="28"/>
        <v>0</v>
      </c>
      <c r="I37" s="45">
        <f t="shared" si="29"/>
        <v>10</v>
      </c>
      <c r="J37" s="46" t="str">
        <f>'Kreuztabelle 18'!C38</f>
        <v>Spieler 10</v>
      </c>
      <c r="K37" s="47">
        <f>IF(COUNT('Kreuztabelle 18'!D38:'Kreuztabelle 18'!U38)&gt;0,COUNT('Kreuztabelle 18'!D38:'Kreuztabelle 18'!U38),0)</f>
        <v>0</v>
      </c>
      <c r="L37" s="169">
        <f t="shared" si="30"/>
        <v>0</v>
      </c>
      <c r="M37" s="170">
        <f t="shared" si="31"/>
        <v>0</v>
      </c>
      <c r="N37">
        <f>IF(M37=" ",0.1,M37*10000+L37+0.11)</f>
        <v>0.11</v>
      </c>
      <c r="O37" s="171"/>
      <c r="P37" s="171"/>
      <c r="T37" s="1">
        <v>10</v>
      </c>
    </row>
    <row r="38" spans="2:20" ht="19.5" customHeight="1">
      <c r="B38" s="45">
        <f>IF(AND(D37=D38,E37=E38,F37=F38),"","11.")</f>
      </c>
      <c r="C38" s="46" t="str">
        <f t="shared" si="25"/>
        <v>Spieler 11</v>
      </c>
      <c r="D38" s="47">
        <f t="shared" si="26"/>
        <v>0</v>
      </c>
      <c r="E38" s="169">
        <f t="shared" si="27"/>
        <v>0</v>
      </c>
      <c r="F38" s="170">
        <f t="shared" si="28"/>
        <v>0</v>
      </c>
      <c r="I38" s="45">
        <f t="shared" si="29"/>
        <v>11</v>
      </c>
      <c r="J38" s="46" t="str">
        <f>'Kreuztabelle 18'!C39</f>
        <v>Spieler 11</v>
      </c>
      <c r="K38" s="47">
        <f>IF(COUNT('Kreuztabelle 18'!D39:'Kreuztabelle 18'!U39)&gt;0,COUNT('Kreuztabelle 18'!D39:'Kreuztabelle 18'!U39),0)</f>
        <v>0</v>
      </c>
      <c r="L38" s="169">
        <f t="shared" si="30"/>
        <v>0</v>
      </c>
      <c r="M38" s="170">
        <f t="shared" si="31"/>
        <v>0</v>
      </c>
      <c r="N38">
        <f>IF(M38=" ",0.1,M38*10000+L38+0.1)</f>
        <v>0.1</v>
      </c>
      <c r="O38" s="171"/>
      <c r="P38" s="171"/>
      <c r="T38" s="1">
        <v>11</v>
      </c>
    </row>
    <row r="39" spans="2:20" ht="19.5" customHeight="1">
      <c r="B39" s="45">
        <f>IF(AND(D38=D39,E38=E39,F38=F39),"","12.")</f>
      </c>
      <c r="C39" s="46" t="str">
        <f t="shared" si="25"/>
        <v>Spieler 12</v>
      </c>
      <c r="D39" s="47">
        <f t="shared" si="26"/>
        <v>0</v>
      </c>
      <c r="E39" s="169">
        <f t="shared" si="27"/>
        <v>0</v>
      </c>
      <c r="F39" s="170">
        <f t="shared" si="28"/>
        <v>0</v>
      </c>
      <c r="I39" s="45">
        <f t="shared" si="29"/>
        <v>12</v>
      </c>
      <c r="J39" s="46" t="str">
        <f>'Kreuztabelle 18'!C40</f>
        <v>Spieler 12</v>
      </c>
      <c r="K39" s="47">
        <f>IF(COUNT('Kreuztabelle 18'!D40:'Kreuztabelle 18'!U40)&gt;0,COUNT('Kreuztabelle 18'!D40:'Kreuztabelle 18'!U40),0)</f>
        <v>0</v>
      </c>
      <c r="L39" s="169">
        <f t="shared" si="30"/>
        <v>0</v>
      </c>
      <c r="M39" s="170">
        <f t="shared" si="31"/>
        <v>0</v>
      </c>
      <c r="N39">
        <f>IF(M39=" ",0.1,M39*10000+L39+0.09)</f>
        <v>0.09</v>
      </c>
      <c r="O39" s="171"/>
      <c r="P39" s="171"/>
      <c r="T39" s="1">
        <v>12</v>
      </c>
    </row>
    <row r="40" spans="2:20" ht="19.5" customHeight="1">
      <c r="B40" s="45">
        <f>IF(AND(D39=D40,E39=E40,F39=F40),"","13.")</f>
      </c>
      <c r="C40" s="46" t="str">
        <f t="shared" si="25"/>
        <v>Spieler 13</v>
      </c>
      <c r="D40" s="47">
        <f t="shared" si="26"/>
        <v>0</v>
      </c>
      <c r="E40" s="169">
        <f t="shared" si="27"/>
        <v>0</v>
      </c>
      <c r="F40" s="170">
        <f t="shared" si="28"/>
        <v>0</v>
      </c>
      <c r="I40" s="45">
        <f t="shared" si="29"/>
        <v>13</v>
      </c>
      <c r="J40" s="46" t="str">
        <f>'Kreuztabelle 18'!C41</f>
        <v>Spieler 13</v>
      </c>
      <c r="K40" s="47">
        <f>IF(COUNT('Kreuztabelle 18'!D41:'Kreuztabelle 18'!U41)&gt;0,COUNT('Kreuztabelle 18'!D41:'Kreuztabelle 18'!U41),0)</f>
        <v>0</v>
      </c>
      <c r="L40" s="169">
        <f t="shared" si="30"/>
        <v>0</v>
      </c>
      <c r="M40" s="170">
        <f t="shared" si="31"/>
        <v>0</v>
      </c>
      <c r="N40">
        <f>IF(M40=" ",0.1,M40*10000+L40+0.08)</f>
        <v>0.08</v>
      </c>
      <c r="O40" s="171"/>
      <c r="P40" s="171"/>
      <c r="T40" s="1">
        <v>13</v>
      </c>
    </row>
    <row r="41" spans="2:20" ht="19.5" customHeight="1">
      <c r="B41" s="45">
        <f>IF(AND(D40=D41,E40=E41,F40=F41),"","14.")</f>
      </c>
      <c r="C41" s="46" t="str">
        <f t="shared" si="25"/>
        <v>Spieler 14</v>
      </c>
      <c r="D41" s="47">
        <f t="shared" si="26"/>
        <v>0</v>
      </c>
      <c r="E41" s="169">
        <f t="shared" si="27"/>
        <v>0</v>
      </c>
      <c r="F41" s="170">
        <f t="shared" si="28"/>
        <v>0</v>
      </c>
      <c r="I41" s="45">
        <f t="shared" si="29"/>
        <v>14</v>
      </c>
      <c r="J41" s="46" t="str">
        <f>'Kreuztabelle 18'!C42</f>
        <v>Spieler 14</v>
      </c>
      <c r="K41" s="47">
        <f>IF(COUNT('Kreuztabelle 18'!D42:'Kreuztabelle 18'!U42)&gt;0,COUNT('Kreuztabelle 18'!D42:'Kreuztabelle 18'!U42),0)</f>
        <v>0</v>
      </c>
      <c r="L41" s="169">
        <f t="shared" si="30"/>
        <v>0</v>
      </c>
      <c r="M41" s="170">
        <f t="shared" si="31"/>
        <v>0</v>
      </c>
      <c r="N41">
        <f>IF(M41=" ",0.1,M41*10000+L41+0.07)</f>
        <v>0.07</v>
      </c>
      <c r="O41" s="171"/>
      <c r="P41" s="171"/>
      <c r="T41" s="1">
        <v>14</v>
      </c>
    </row>
    <row r="42" spans="2:20" ht="19.5" customHeight="1">
      <c r="B42" s="45">
        <f>IF(AND(D41=D42,E41=E42,F41=F42),"","15.")</f>
      </c>
      <c r="C42" s="46" t="str">
        <f t="shared" si="25"/>
        <v>Spieler 15</v>
      </c>
      <c r="D42" s="47">
        <f t="shared" si="26"/>
        <v>0</v>
      </c>
      <c r="E42" s="169">
        <f t="shared" si="27"/>
        <v>0</v>
      </c>
      <c r="F42" s="170">
        <f t="shared" si="28"/>
        <v>0</v>
      </c>
      <c r="I42" s="45">
        <f>RANK(N42,$N$28:$N$45,0)</f>
        <v>15</v>
      </c>
      <c r="J42" s="46" t="str">
        <f>'Kreuztabelle 18'!C43</f>
        <v>Spieler 15</v>
      </c>
      <c r="K42" s="47">
        <f>IF(COUNT('Kreuztabelle 18'!D43:'Kreuztabelle 18'!U43)&gt;0,COUNT('Kreuztabelle 18'!D43:'Kreuztabelle 18'!U43),0)</f>
        <v>0</v>
      </c>
      <c r="L42" s="169">
        <f t="shared" si="30"/>
        <v>0</v>
      </c>
      <c r="M42" s="170">
        <f>DA18-AB18</f>
        <v>0</v>
      </c>
      <c r="N42">
        <f>IF(M42=" ",0.1,M42*10000+L42+0.06)</f>
        <v>0.06</v>
      </c>
      <c r="O42" s="171"/>
      <c r="P42" s="171"/>
      <c r="T42" s="1">
        <v>15</v>
      </c>
    </row>
    <row r="43" spans="2:20" ht="19.5" customHeight="1">
      <c r="B43" s="45">
        <f>IF(AND(D42=D43,E42=E43,F42=F43),"","16.")</f>
      </c>
      <c r="C43" s="46" t="str">
        <f t="shared" si="25"/>
        <v>Spieler 16</v>
      </c>
      <c r="D43" s="47">
        <f t="shared" si="26"/>
        <v>0</v>
      </c>
      <c r="E43" s="169">
        <f t="shared" si="27"/>
        <v>0</v>
      </c>
      <c r="F43" s="170">
        <f t="shared" si="28"/>
        <v>0</v>
      </c>
      <c r="I43" s="45">
        <f>RANK(N43,$N$28:$N$45,0)</f>
        <v>16</v>
      </c>
      <c r="J43" s="46" t="str">
        <f>'Kreuztabelle 18'!C44</f>
        <v>Spieler 16</v>
      </c>
      <c r="K43" s="47">
        <f>IF(COUNT('Kreuztabelle 18'!D44:'Kreuztabelle 18'!U44)&gt;0,COUNT('Kreuztabelle 18'!D44:'Kreuztabelle 18'!U44),0)</f>
        <v>0</v>
      </c>
      <c r="L43" s="169">
        <f t="shared" si="30"/>
        <v>0</v>
      </c>
      <c r="M43" s="170">
        <f>DA19-AB19</f>
        <v>0</v>
      </c>
      <c r="N43">
        <f>IF(M43=" ",0.1,M43*10000+L43+0.05)</f>
        <v>0.05</v>
      </c>
      <c r="O43" s="171"/>
      <c r="P43" s="171"/>
      <c r="T43" s="1">
        <v>16</v>
      </c>
    </row>
    <row r="44" spans="2:20" ht="19.5" customHeight="1">
      <c r="B44" s="45">
        <f>IF(AND(D43=D44,E43=E44,F43=F44),"","17.")</f>
      </c>
      <c r="C44" s="46" t="str">
        <f t="shared" si="25"/>
        <v>Spieler 17</v>
      </c>
      <c r="D44" s="47">
        <f t="shared" si="26"/>
        <v>0</v>
      </c>
      <c r="E44" s="169">
        <f t="shared" si="27"/>
        <v>0</v>
      </c>
      <c r="F44" s="170">
        <f t="shared" si="28"/>
        <v>0</v>
      </c>
      <c r="I44" s="45">
        <f>RANK(N44,$N$28:$N$45,0)</f>
        <v>17</v>
      </c>
      <c r="J44" s="46" t="str">
        <f>'Kreuztabelle 18'!C45</f>
        <v>Spieler 17</v>
      </c>
      <c r="K44" s="47">
        <f>IF(COUNT('Kreuztabelle 18'!D45:'Kreuztabelle 18'!U45)&gt;0,COUNT('Kreuztabelle 18'!D45:'Kreuztabelle 18'!U45),0)</f>
        <v>0</v>
      </c>
      <c r="L44" s="169">
        <f t="shared" si="30"/>
        <v>0</v>
      </c>
      <c r="M44" s="170">
        <f>DA20-AB20</f>
        <v>0</v>
      </c>
      <c r="N44">
        <f>IF(M44=" ",0.1,M44*10000+L44+0.04)</f>
        <v>0.04</v>
      </c>
      <c r="O44" s="171"/>
      <c r="P44" s="171"/>
      <c r="T44" s="1">
        <v>17</v>
      </c>
    </row>
    <row r="45" spans="2:20" ht="19.5" customHeight="1" thickBot="1">
      <c r="B45" s="49">
        <f>IF(Eingabe!G13="spielfrei","",IF(AND(D44=D45,E44=E45,F44=F45),"","18."))</f>
      </c>
      <c r="C45" s="50" t="str">
        <f>IF(Eingabe!G13="spielfrei","",VLOOKUP($T45,$I$28:$M$45,2,FALSE))</f>
        <v>Spieler 18 / spielfrei</v>
      </c>
      <c r="D45" s="51">
        <f>IF(Eingabe!G13="spielfrei","",VLOOKUP($T45,$I$28:$M$45,3,FALSE))</f>
        <v>0</v>
      </c>
      <c r="E45" s="172">
        <f>IF(Eingabe!G13="spielfrei","",VLOOKUP($T45,$I$28:$M$45,4,FALSE))</f>
        <v>0</v>
      </c>
      <c r="F45" s="173">
        <f>IF(Eingabe!G13="spielfrei","",VLOOKUP($T45,$I$28:$M$45,5,FALSE))</f>
        <v>0</v>
      </c>
      <c r="I45" s="49">
        <f>RANK(N45,$N$28:$N$45,0)</f>
        <v>18</v>
      </c>
      <c r="J45" s="50" t="str">
        <f>'Kreuztabelle 18'!C46</f>
        <v>Spieler 18 / spielfrei</v>
      </c>
      <c r="K45" s="172">
        <f>IF(COUNT('Kreuztabelle 18'!D46:'Kreuztabelle 18'!U46)&gt;0,COUNT('Kreuztabelle 18'!D46:'Kreuztabelle 18'!U46),0)</f>
        <v>0</v>
      </c>
      <c r="L45" s="172">
        <f t="shared" si="30"/>
        <v>0</v>
      </c>
      <c r="M45" s="173">
        <f>DA21-AB21</f>
        <v>0</v>
      </c>
      <c r="N45">
        <f>IF(M45=" ",0.1,M45*10000+L45+0.03)</f>
        <v>0.03</v>
      </c>
      <c r="O45" s="171"/>
      <c r="P45" s="171"/>
      <c r="T45" s="1">
        <v>18</v>
      </c>
    </row>
    <row r="46" ht="19.5" customHeight="1"/>
  </sheetData>
  <mergeCells count="4">
    <mergeCell ref="AD2:AT2"/>
    <mergeCell ref="AU2:BK2"/>
    <mergeCell ref="BL2:CB2"/>
    <mergeCell ref="CC2:CS2"/>
  </mergeCells>
  <conditionalFormatting sqref="B22:F22">
    <cfRule type="expression" priority="1" dxfId="0" stopIfTrue="1">
      <formula>$C$22="spielfrei"</formula>
    </cfRule>
  </conditionalFormatting>
  <conditionalFormatting sqref="C4 C27">
    <cfRule type="expression" priority="2" dxfId="0" stopIfTrue="1">
      <formula>$C$4="Stand nach der 0. Runde"</formula>
    </cfRule>
  </conditionalFormatting>
  <conditionalFormatting sqref="F28:F45">
    <cfRule type="cellIs" priority="3" dxfId="2" operator="greaterThan" stopIfTrue="1">
      <formula>0</formula>
    </cfRule>
    <cfRule type="cellIs" priority="4" dxfId="3" operator="lessThan" stopIfTrue="1">
      <formula>0</formula>
    </cfRule>
  </conditionalFormatting>
  <printOptions horizontalCentered="1"/>
  <pageMargins left="0.7874015748031497" right="0.7874015748031497" top="0" bottom="0" header="0.5118110236220472" footer="0.5118110236220472"/>
  <pageSetup fitToHeight="1" fitToWidth="1" horizontalDpi="360" verticalDpi="36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Einstein</cp:lastModifiedBy>
  <cp:lastPrinted>2013-01-20T07:07:48Z</cp:lastPrinted>
  <dcterms:created xsi:type="dcterms:W3CDTF">2008-06-17T04:36:54Z</dcterms:created>
  <dcterms:modified xsi:type="dcterms:W3CDTF">2020-02-08T05:02:16Z</dcterms:modified>
  <cp:category/>
  <cp:version/>
  <cp:contentType/>
  <cp:contentStatus/>
</cp:coreProperties>
</file>